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7950"/>
  </bookViews>
  <sheets>
    <sheet name="New Figure" sheetId="3" r:id="rId1"/>
    <sheet name="Old Figure" sheetId="1" r:id="rId2"/>
  </sheets>
  <definedNames>
    <definedName name="m" localSheetId="0">'New Figure'!$B$3</definedName>
    <definedName name="m">'Old Figure'!$B$3</definedName>
    <definedName name="p" localSheetId="0">'New Figure'!$B$4</definedName>
    <definedName name="p">'Old Figure'!$B$4</definedName>
    <definedName name="q" localSheetId="0">'New Figure'!$B$5</definedName>
    <definedName name="q">'Old Figure'!$B$5</definedName>
  </definedNames>
  <calcPr calcId="145621"/>
</workbook>
</file>

<file path=xl/calcChain.xml><?xml version="1.0" encoding="utf-8"?>
<calcChain xmlns="http://schemas.openxmlformats.org/spreadsheetml/2006/main">
  <c r="J62" i="3" l="1"/>
  <c r="J63" i="3"/>
  <c r="J64" i="3"/>
  <c r="J61" i="3"/>
  <c r="I62" i="3"/>
  <c r="I63" i="3"/>
  <c r="I64" i="3"/>
  <c r="I61" i="3"/>
  <c r="G63" i="3"/>
  <c r="F63" i="3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44" i="1"/>
  <c r="B4" i="3" l="1"/>
  <c r="B44" i="1" l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43" i="1"/>
  <c r="B39" i="3"/>
  <c r="B40" i="3" s="1"/>
  <c r="B41" i="3" s="1"/>
  <c r="B37" i="3"/>
  <c r="G9" i="3"/>
  <c r="F9" i="3"/>
  <c r="C9" i="3"/>
  <c r="B9" i="3" s="1"/>
  <c r="C10" i="3" s="1"/>
  <c r="B10" i="3" s="1"/>
  <c r="B40" i="1"/>
  <c r="B41" i="1"/>
  <c r="B37" i="1"/>
  <c r="B39" i="1" s="1"/>
  <c r="B44" i="3" l="1"/>
  <c r="D44" i="3" s="1"/>
  <c r="G10" i="3"/>
  <c r="B43" i="3"/>
  <c r="D43" i="3" s="1"/>
  <c r="E10" i="3"/>
  <c r="F10" i="3"/>
  <c r="D51" i="1"/>
  <c r="E51" i="1" s="1"/>
  <c r="F11" i="3"/>
  <c r="D10" i="3"/>
  <c r="D9" i="3"/>
  <c r="C11" i="3"/>
  <c r="B45" i="3" s="1"/>
  <c r="D45" i="3" s="1"/>
  <c r="E9" i="3"/>
  <c r="G11" i="3"/>
  <c r="D43" i="1"/>
  <c r="E43" i="1" s="1"/>
  <c r="D50" i="1"/>
  <c r="E50" i="1" s="1"/>
  <c r="D57" i="1"/>
  <c r="E57" i="1" s="1"/>
  <c r="D49" i="1"/>
  <c r="E49" i="1" s="1"/>
  <c r="D56" i="1"/>
  <c r="E56" i="1" s="1"/>
  <c r="D48" i="1"/>
  <c r="E48" i="1" s="1"/>
  <c r="D55" i="1"/>
  <c r="E55" i="1" s="1"/>
  <c r="D47" i="1"/>
  <c r="E47" i="1" s="1"/>
  <c r="D54" i="1"/>
  <c r="E54" i="1" s="1"/>
  <c r="D46" i="1"/>
  <c r="E46" i="1" s="1"/>
  <c r="D52" i="1"/>
  <c r="E52" i="1" s="1"/>
  <c r="D53" i="1"/>
  <c r="E53" i="1" s="1"/>
  <c r="D45" i="1"/>
  <c r="E45" i="1" s="1"/>
  <c r="D44" i="1"/>
  <c r="E44" i="1" s="1"/>
  <c r="E44" i="3" l="1"/>
  <c r="F44" i="3"/>
  <c r="F43" i="3"/>
  <c r="E45" i="3"/>
  <c r="F45" i="3"/>
  <c r="E43" i="3"/>
  <c r="E61" i="1"/>
  <c r="E63" i="1"/>
  <c r="E62" i="1"/>
  <c r="E64" i="1"/>
  <c r="E11" i="3"/>
  <c r="B11" i="3"/>
  <c r="C9" i="1"/>
  <c r="B9" i="1" s="1"/>
  <c r="G9" i="1"/>
  <c r="F9" i="1"/>
  <c r="G12" i="3" l="1"/>
  <c r="F12" i="3"/>
  <c r="D11" i="3"/>
  <c r="C12" i="3"/>
  <c r="B46" i="3" s="1"/>
  <c r="D46" i="3" s="1"/>
  <c r="E9" i="1"/>
  <c r="G10" i="1"/>
  <c r="F10" i="1"/>
  <c r="C10" i="1"/>
  <c r="D9" i="1"/>
  <c r="F46" i="3" l="1"/>
  <c r="E46" i="3"/>
  <c r="E12" i="3"/>
  <c r="B12" i="3"/>
  <c r="B10" i="1"/>
  <c r="E10" i="1"/>
  <c r="F13" i="3" l="1"/>
  <c r="C13" i="3"/>
  <c r="B47" i="3" s="1"/>
  <c r="D47" i="3" s="1"/>
  <c r="D12" i="3"/>
  <c r="G13" i="3"/>
  <c r="G11" i="1"/>
  <c r="F11" i="1"/>
  <c r="C11" i="1"/>
  <c r="D10" i="1"/>
  <c r="F47" i="3" l="1"/>
  <c r="F61" i="3" s="1"/>
  <c r="G61" i="3"/>
  <c r="E47" i="3"/>
  <c r="E61" i="3" s="1"/>
  <c r="B13" i="3"/>
  <c r="E13" i="3"/>
  <c r="B11" i="1"/>
  <c r="E11" i="1"/>
  <c r="C14" i="3" l="1"/>
  <c r="B48" i="3" s="1"/>
  <c r="D48" i="3" s="1"/>
  <c r="D13" i="3"/>
  <c r="G14" i="3"/>
  <c r="F14" i="3"/>
  <c r="G12" i="1"/>
  <c r="F12" i="1"/>
  <c r="C12" i="1"/>
  <c r="D11" i="1"/>
  <c r="F48" i="3" l="1"/>
  <c r="E48" i="3"/>
  <c r="B14" i="3"/>
  <c r="E14" i="3"/>
  <c r="B12" i="1"/>
  <c r="E12" i="1"/>
  <c r="F15" i="3" l="1"/>
  <c r="D14" i="3"/>
  <c r="C15" i="3"/>
  <c r="B49" i="3" s="1"/>
  <c r="D49" i="3" s="1"/>
  <c r="G15" i="3"/>
  <c r="G13" i="1"/>
  <c r="F13" i="1"/>
  <c r="C13" i="1"/>
  <c r="D12" i="1"/>
  <c r="F49" i="3" l="1"/>
  <c r="F62" i="3"/>
  <c r="G62" i="3"/>
  <c r="E49" i="3"/>
  <c r="E62" i="3" s="1"/>
  <c r="E15" i="3"/>
  <c r="B15" i="3"/>
  <c r="B13" i="1"/>
  <c r="E13" i="1"/>
  <c r="G16" i="3" l="1"/>
  <c r="F16" i="3"/>
  <c r="D15" i="3"/>
  <c r="C16" i="3"/>
  <c r="B50" i="3" s="1"/>
  <c r="D50" i="3" s="1"/>
  <c r="G14" i="1"/>
  <c r="D13" i="1"/>
  <c r="F14" i="1"/>
  <c r="C14" i="1"/>
  <c r="E50" i="3" l="1"/>
  <c r="F50" i="3"/>
  <c r="E16" i="3"/>
  <c r="B16" i="3"/>
  <c r="B14" i="1"/>
  <c r="E14" i="1"/>
  <c r="G17" i="3" l="1"/>
  <c r="F17" i="3"/>
  <c r="C17" i="3"/>
  <c r="B51" i="3" s="1"/>
  <c r="D51" i="3" s="1"/>
  <c r="D16" i="3"/>
  <c r="G15" i="1"/>
  <c r="F15" i="1"/>
  <c r="C15" i="1"/>
  <c r="D14" i="1"/>
  <c r="E51" i="3" l="1"/>
  <c r="F51" i="3"/>
  <c r="B17" i="3"/>
  <c r="E17" i="3"/>
  <c r="B15" i="1"/>
  <c r="E15" i="1"/>
  <c r="C18" i="3" l="1"/>
  <c r="B52" i="3" s="1"/>
  <c r="D52" i="3" s="1"/>
  <c r="G18" i="3"/>
  <c r="F18" i="3"/>
  <c r="D17" i="3"/>
  <c r="G16" i="1"/>
  <c r="F16" i="1"/>
  <c r="C16" i="1"/>
  <c r="D15" i="1"/>
  <c r="E52" i="3" l="1"/>
  <c r="E63" i="3" s="1"/>
  <c r="F52" i="3"/>
  <c r="B18" i="3"/>
  <c r="E18" i="3"/>
  <c r="B16" i="1"/>
  <c r="E16" i="1"/>
  <c r="F19" i="3" l="1"/>
  <c r="D18" i="3"/>
  <c r="C19" i="3"/>
  <c r="B53" i="3" s="1"/>
  <c r="D53" i="3" s="1"/>
  <c r="G19" i="3"/>
  <c r="G17" i="1"/>
  <c r="F17" i="1"/>
  <c r="C17" i="1"/>
  <c r="D16" i="1"/>
  <c r="E53" i="3" l="1"/>
  <c r="F53" i="3"/>
  <c r="E19" i="3"/>
  <c r="B19" i="3"/>
  <c r="B17" i="1"/>
  <c r="E17" i="1"/>
  <c r="G20" i="3" l="1"/>
  <c r="F20" i="3"/>
  <c r="D19" i="3"/>
  <c r="C20" i="3"/>
  <c r="B54" i="3" s="1"/>
  <c r="D54" i="3" s="1"/>
  <c r="G18" i="1"/>
  <c r="D17" i="1"/>
  <c r="F18" i="1"/>
  <c r="C18" i="1"/>
  <c r="E54" i="3" l="1"/>
  <c r="F54" i="3"/>
  <c r="E20" i="3"/>
  <c r="B20" i="3"/>
  <c r="B18" i="1"/>
  <c r="E18" i="1"/>
  <c r="G21" i="3" l="1"/>
  <c r="C21" i="3"/>
  <c r="B55" i="3" s="1"/>
  <c r="D55" i="3" s="1"/>
  <c r="D20" i="3"/>
  <c r="F21" i="3"/>
  <c r="G19" i="1"/>
  <c r="F19" i="1"/>
  <c r="C19" i="1"/>
  <c r="D18" i="1"/>
  <c r="E55" i="3" l="1"/>
  <c r="F55" i="3"/>
  <c r="B21" i="3"/>
  <c r="E21" i="3"/>
  <c r="B19" i="1"/>
  <c r="E19" i="1"/>
  <c r="C22" i="3" l="1"/>
  <c r="B56" i="3" s="1"/>
  <c r="D56" i="3" s="1"/>
  <c r="D21" i="3"/>
  <c r="G22" i="3"/>
  <c r="F22" i="3"/>
  <c r="G20" i="1"/>
  <c r="F20" i="1"/>
  <c r="C20" i="1"/>
  <c r="B20" i="1" s="1"/>
  <c r="D19" i="1"/>
  <c r="E56" i="3" l="1"/>
  <c r="F56" i="3"/>
  <c r="B22" i="3"/>
  <c r="E22" i="3"/>
  <c r="E20" i="1"/>
  <c r="F23" i="3" l="1"/>
  <c r="D22" i="3"/>
  <c r="C23" i="3"/>
  <c r="B57" i="3" s="1"/>
  <c r="D57" i="3" s="1"/>
  <c r="F57" i="3" s="1"/>
  <c r="G23" i="3"/>
  <c r="G21" i="1"/>
  <c r="F21" i="1"/>
  <c r="C21" i="1"/>
  <c r="D20" i="1"/>
  <c r="E57" i="3" l="1"/>
  <c r="G64" i="3"/>
  <c r="E23" i="3"/>
  <c r="B23" i="3"/>
  <c r="B21" i="1"/>
  <c r="E21" i="1"/>
  <c r="E64" i="3" l="1"/>
  <c r="F64" i="3"/>
  <c r="G24" i="3"/>
  <c r="F24" i="3"/>
  <c r="D23" i="3"/>
  <c r="C24" i="3"/>
  <c r="G22" i="1"/>
  <c r="D21" i="1"/>
  <c r="F22" i="1"/>
  <c r="C22" i="1"/>
  <c r="E24" i="3" l="1"/>
  <c r="B24" i="3"/>
  <c r="B22" i="1"/>
  <c r="E22" i="1"/>
  <c r="G25" i="3" l="1"/>
  <c r="F25" i="3"/>
  <c r="C25" i="3"/>
  <c r="D24" i="3"/>
  <c r="G23" i="1"/>
  <c r="F23" i="1"/>
  <c r="C23" i="1"/>
  <c r="D22" i="1"/>
  <c r="B25" i="3" l="1"/>
  <c r="E25" i="3"/>
  <c r="B23" i="1"/>
  <c r="E23" i="1"/>
  <c r="C26" i="3" l="1"/>
  <c r="G26" i="3"/>
  <c r="F26" i="3"/>
  <c r="D25" i="3"/>
  <c r="G24" i="1"/>
  <c r="F24" i="1"/>
  <c r="C24" i="1"/>
  <c r="D23" i="1"/>
  <c r="B26" i="3" l="1"/>
  <c r="E26" i="3"/>
  <c r="B24" i="1"/>
  <c r="E24" i="1"/>
  <c r="F27" i="3" l="1"/>
  <c r="D26" i="3"/>
  <c r="C27" i="3"/>
  <c r="G27" i="3"/>
  <c r="G25" i="1"/>
  <c r="F25" i="1"/>
  <c r="C25" i="1"/>
  <c r="D24" i="1"/>
  <c r="E27" i="3" l="1"/>
  <c r="B27" i="3"/>
  <c r="B25" i="1"/>
  <c r="E25" i="1"/>
  <c r="G28" i="3" l="1"/>
  <c r="F28" i="3"/>
  <c r="D27" i="3"/>
  <c r="C28" i="3"/>
  <c r="G26" i="1"/>
  <c r="D25" i="1"/>
  <c r="F26" i="1"/>
  <c r="C26" i="1"/>
  <c r="E28" i="3" l="1"/>
  <c r="B28" i="3"/>
  <c r="B26" i="1"/>
  <c r="E26" i="1"/>
  <c r="G29" i="3" l="1"/>
  <c r="C29" i="3"/>
  <c r="D28" i="3"/>
  <c r="F29" i="3"/>
  <c r="G27" i="1"/>
  <c r="F27" i="1"/>
  <c r="C27" i="1"/>
  <c r="D26" i="1"/>
  <c r="B29" i="3" l="1"/>
  <c r="E29" i="3"/>
  <c r="B27" i="1"/>
  <c r="E27" i="1"/>
  <c r="C30" i="3" l="1"/>
  <c r="D29" i="3"/>
  <c r="G30" i="3"/>
  <c r="F30" i="3"/>
  <c r="G28" i="1"/>
  <c r="F28" i="1"/>
  <c r="C28" i="1"/>
  <c r="D27" i="1"/>
  <c r="B30" i="3" l="1"/>
  <c r="E30" i="3"/>
  <c r="B28" i="1"/>
  <c r="E28" i="1"/>
  <c r="F31" i="3" l="1"/>
  <c r="D30" i="3"/>
  <c r="C31" i="3"/>
  <c r="G31" i="3"/>
  <c r="G29" i="1"/>
  <c r="F29" i="1"/>
  <c r="C29" i="1"/>
  <c r="D28" i="1"/>
  <c r="E31" i="3" l="1"/>
  <c r="B31" i="3"/>
  <c r="B29" i="1"/>
  <c r="E29" i="1"/>
  <c r="G32" i="3" l="1"/>
  <c r="F32" i="3"/>
  <c r="D31" i="3"/>
  <c r="C32" i="3"/>
  <c r="G30" i="1"/>
  <c r="D29" i="1"/>
  <c r="F30" i="1"/>
  <c r="C30" i="1"/>
  <c r="E32" i="3" l="1"/>
  <c r="B32" i="3"/>
  <c r="D32" i="3" s="1"/>
  <c r="B30" i="1"/>
  <c r="E30" i="1"/>
  <c r="G31" i="1" l="1"/>
  <c r="F31" i="1"/>
  <c r="C31" i="1"/>
  <c r="D30" i="1"/>
  <c r="B31" i="1" l="1"/>
  <c r="E31" i="1"/>
  <c r="G32" i="1" l="1"/>
  <c r="D31" i="1"/>
  <c r="F32" i="1"/>
  <c r="C32" i="1"/>
  <c r="E32" i="1" l="1"/>
  <c r="B32" i="1"/>
  <c r="D32" i="1" s="1"/>
</calcChain>
</file>

<file path=xl/sharedStrings.xml><?xml version="1.0" encoding="utf-8"?>
<sst xmlns="http://schemas.openxmlformats.org/spreadsheetml/2006/main" count="58" uniqueCount="34">
  <si>
    <t>m</t>
  </si>
  <si>
    <t>p</t>
  </si>
  <si>
    <t>q</t>
  </si>
  <si>
    <t>t</t>
  </si>
  <si>
    <t>N(t)</t>
  </si>
  <si>
    <t>N(t)/m</t>
  </si>
  <si>
    <t>Bass model for illustrative purposes</t>
  </si>
  <si>
    <t>S(t)</t>
  </si>
  <si>
    <t>S(t)/m</t>
  </si>
  <si>
    <t>S(t) Innovators</t>
  </si>
  <si>
    <t>S(t) Imitators</t>
  </si>
  <si>
    <t>Gross profit margins</t>
  </si>
  <si>
    <t>Retention rate</t>
  </si>
  <si>
    <t>discount rate</t>
  </si>
  <si>
    <t xml:space="preserve">Acq costs </t>
  </si>
  <si>
    <t>Annual revenues</t>
  </si>
  <si>
    <t>Average costs</t>
  </si>
  <si>
    <t>CLV</t>
  </si>
  <si>
    <t>PCLV</t>
  </si>
  <si>
    <t>&lt; Enter values for the growth parameters here &gt;</t>
  </si>
  <si>
    <t>&lt; Enter values for the revenues and costs parameters here &gt;</t>
  </si>
  <si>
    <t>15 years</t>
  </si>
  <si>
    <t>Innovation Equity in $ billion</t>
  </si>
  <si>
    <t>5 years</t>
  </si>
  <si>
    <t>7 years</t>
  </si>
  <si>
    <t>10 years</t>
  </si>
  <si>
    <t xml:space="preserve">Acqusition costs </t>
  </si>
  <si>
    <t>1/r^(N-1)</t>
  </si>
  <si>
    <t>1/r^N</t>
  </si>
  <si>
    <t>NPV Excel based</t>
  </si>
  <si>
    <t>all figures in $000)</t>
  </si>
  <si>
    <t>in $b</t>
  </si>
  <si>
    <t>Table 2.2</t>
  </si>
  <si>
    <t>Equity calculations and the Diffusion Model for Table 2.1 and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</si>
</sst>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3" formatCode="_(* #,##0.00_);_(* \(#,##0.00\);_(* &quot;-&quot;??_);_(@_)"/>
    <numFmt numFmtId="164" formatCode="#,##0.000"/>
    <numFmt numFmtId="165" formatCode="0.000"/>
    <numFmt numFmtId="166" formatCode="#,##0.0"/>
    <numFmt numFmtId="167" formatCode="0.0%"/>
    <numFmt numFmtId="168" formatCode="[$$-409]#,##0.0"/>
    <numFmt numFmtId="169" formatCode="[$$-409]#,##0"/>
    <numFmt numFmtId="170" formatCode="[$$-409]#,##0.000"/>
    <numFmt numFmtId="171" formatCode="_(* #,##0_);_(* \(#,##0\);_(* &quot;-&quot;??_);_(@_)"/>
    <numFmt numFmtId="172" formatCode="[$$-409]#,##0.00"/>
    <numFmt numFmtId="173" formatCode="&quot;$&quot;#,##0.0_);[Red]\(&quot;$&quot;#,##0.0\)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169" fontId="0" fillId="0" borderId="0" xfId="0" applyNumberFormat="1"/>
    <xf numFmtId="0" fontId="4" fillId="0" borderId="0" xfId="0" applyFont="1" applyAlignment="1">
      <alignment horizontal="left"/>
    </xf>
    <xf numFmtId="170" fontId="0" fillId="0" borderId="0" xfId="0" applyNumberFormat="1"/>
    <xf numFmtId="0" fontId="4" fillId="0" borderId="0" xfId="0" applyFont="1"/>
    <xf numFmtId="169" fontId="0" fillId="0" borderId="0" xfId="0" applyNumberFormat="1" applyBorder="1"/>
    <xf numFmtId="9" fontId="0" fillId="3" borderId="9" xfId="2" applyFont="1" applyFill="1" applyBorder="1"/>
    <xf numFmtId="167" fontId="0" fillId="3" borderId="11" xfId="2" applyNumberFormat="1" applyFont="1" applyFill="1" applyBorder="1"/>
    <xf numFmtId="168" fontId="0" fillId="3" borderId="11" xfId="0" applyNumberFormat="1" applyFill="1" applyBorder="1"/>
    <xf numFmtId="168" fontId="0" fillId="3" borderId="13" xfId="0" applyNumberFormat="1" applyFill="1" applyBorder="1"/>
    <xf numFmtId="171" fontId="3" fillId="0" borderId="0" xfId="1" applyNumberFormat="1" applyFont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72" fontId="0" fillId="0" borderId="0" xfId="0" applyNumberFormat="1"/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9" fontId="0" fillId="3" borderId="9" xfId="2" applyFont="1" applyFill="1" applyBorder="1" applyAlignment="1">
      <alignment horizontal="center"/>
    </xf>
    <xf numFmtId="10" fontId="0" fillId="3" borderId="11" xfId="2" applyNumberFormat="1" applyFont="1" applyFill="1" applyBorder="1" applyAlignment="1">
      <alignment horizontal="center"/>
    </xf>
    <xf numFmtId="168" fontId="0" fillId="3" borderId="11" xfId="0" applyNumberFormat="1" applyFill="1" applyBorder="1" applyAlignment="1">
      <alignment horizontal="center"/>
    </xf>
    <xf numFmtId="168" fontId="0" fillId="3" borderId="13" xfId="0" applyNumberFormat="1" applyFill="1" applyBorder="1" applyAlignment="1">
      <alignment horizontal="center"/>
    </xf>
    <xf numFmtId="173" fontId="0" fillId="0" borderId="0" xfId="0" applyNumberFormat="1"/>
    <xf numFmtId="6" fontId="0" fillId="0" borderId="0" xfId="0" applyNumberFormat="1"/>
    <xf numFmtId="3" fontId="0" fillId="0" borderId="0" xfId="0" applyNumberFormat="1" applyBorder="1"/>
    <xf numFmtId="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98305084745763"/>
          <c:y val="9.7744360902255634E-2"/>
          <c:w val="0.82203389830508478"/>
          <c:h val="0.6428571428571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'Old Figure'!$B$7</c:f>
              <c:strCache>
                <c:ptCount val="1"/>
                <c:pt idx="0">
                  <c:v>N(t)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'Old Figure'!$A$8:$A$30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'Old Figure'!$B$8:$B$29</c:f>
              <c:numCache>
                <c:formatCode>#,##0.000</c:formatCode>
                <c:ptCount val="22"/>
                <c:pt idx="0" formatCode="General">
                  <c:v>0</c:v>
                </c:pt>
                <c:pt idx="1">
                  <c:v>0.28115099999999998</c:v>
                </c:pt>
                <c:pt idx="2">
                  <c:v>0.69565481515529992</c:v>
                </c:pt>
                <c:pt idx="3">
                  <c:v>1.3014702138457559</c:v>
                </c:pt>
                <c:pt idx="4">
                  <c:v>2.1755519645597068</c:v>
                </c:pt>
                <c:pt idx="5">
                  <c:v>3.4129540817957333</c:v>
                </c:pt>
                <c:pt idx="6">
                  <c:v>5.1167446912528121</c:v>
                </c:pt>
                <c:pt idx="7">
                  <c:v>7.3707445883911209</c:v>
                </c:pt>
                <c:pt idx="8">
                  <c:v>10.188918064135494</c:v>
                </c:pt>
                <c:pt idx="9">
                  <c:v>13.450147917497976</c:v>
                </c:pt>
                <c:pt idx="10">
                  <c:v>16.860234796007777</c:v>
                </c:pt>
                <c:pt idx="11">
                  <c:v>20.008468059998293</c:v>
                </c:pt>
                <c:pt idx="12">
                  <c:v>22.536037700916452</c:v>
                </c:pt>
                <c:pt idx="13">
                  <c:v>24.302027054079261</c:v>
                </c:pt>
                <c:pt idx="14">
                  <c:v>25.396755075090848</c:v>
                </c:pt>
                <c:pt idx="15">
                  <c:v>26.017898250096909</c:v>
                </c:pt>
                <c:pt idx="16">
                  <c:v>26.350772108240388</c:v>
                </c:pt>
                <c:pt idx="17">
                  <c:v>26.523332925465088</c:v>
                </c:pt>
                <c:pt idx="18">
                  <c:v>26.611187305455825</c:v>
                </c:pt>
                <c:pt idx="19">
                  <c:v>26.655495968009991</c:v>
                </c:pt>
                <c:pt idx="20">
                  <c:v>26.6777352228894</c:v>
                </c:pt>
                <c:pt idx="21">
                  <c:v>26.688870314287922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228736"/>
        <c:axId val="166231040"/>
      </c:scatterChart>
      <c:valAx>
        <c:axId val="166228736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542372881355937"/>
              <c:y val="0.8571428571428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231040"/>
        <c:crosses val="autoZero"/>
        <c:crossBetween val="midCat"/>
      </c:valAx>
      <c:valAx>
        <c:axId val="16623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Cumulative No. of Adopters  
(in millions)</a:t>
                </a:r>
              </a:p>
            </c:rich>
          </c:tx>
          <c:layout>
            <c:manualLayout>
              <c:xMode val="edge"/>
              <c:yMode val="edge"/>
              <c:x val="2.7118644067796609E-2"/>
              <c:y val="0.127819548872180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2287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2203389830507"/>
          <c:y val="6.9697175950449664E-2"/>
          <c:w val="0.81694915254237288"/>
          <c:h val="0.69697175950449664"/>
        </c:manualLayout>
      </c:layout>
      <c:scatterChart>
        <c:scatterStyle val="smoothMarker"/>
        <c:varyColors val="0"/>
        <c:ser>
          <c:idx val="0"/>
          <c:order val="0"/>
          <c:tx>
            <c:v>Innovators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'Old Figure'!$A$9:$A$32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'Old Figure'!$F$9:$F$32</c:f>
              <c:numCache>
                <c:formatCode>0.000</c:formatCode>
                <c:ptCount val="24"/>
                <c:pt idx="0">
                  <c:v>0.28115099999999998</c:v>
                </c:pt>
                <c:pt idx="1">
                  <c:v>0.27819047996999996</c:v>
                </c:pt>
                <c:pt idx="2">
                  <c:v>0.27382575479641463</c:v>
                </c:pt>
                <c:pt idx="3">
                  <c:v>0.26744651864820418</c:v>
                </c:pt>
                <c:pt idx="4">
                  <c:v>0.25824243781318629</c:v>
                </c:pt>
                <c:pt idx="5">
                  <c:v>0.24521259351869093</c:v>
                </c:pt>
                <c:pt idx="6">
                  <c:v>0.22727167840110787</c:v>
                </c:pt>
                <c:pt idx="7">
                  <c:v>0.20353705948424147</c:v>
                </c:pt>
                <c:pt idx="8">
                  <c:v>0.17386169278465322</c:v>
                </c:pt>
                <c:pt idx="9">
                  <c:v>0.1395209424287463</c:v>
                </c:pt>
                <c:pt idx="10">
                  <c:v>0.10361272759803809</c:v>
                </c:pt>
                <c:pt idx="11">
                  <c:v>7.0461831328217955E-2</c:v>
                </c:pt>
                <c:pt idx="12">
                  <c:v>4.3846523009349749E-2</c:v>
                </c:pt>
                <c:pt idx="13">
                  <c:v>2.5250655120545373E-2</c:v>
                </c:pt>
                <c:pt idx="14">
                  <c:v>1.3723169059293362E-2</c:v>
                </c:pt>
                <c:pt idx="15">
                  <c:v>7.182531426479539E-3</c:v>
                </c:pt>
                <c:pt idx="16">
                  <c:v>3.6773697002287038E-3</c:v>
                </c:pt>
                <c:pt idx="17">
                  <c:v>1.8603042948526201E-3</c:v>
                </c:pt>
                <c:pt idx="18">
                  <c:v>9.3519767355015285E-4</c:v>
                </c:pt>
                <c:pt idx="19">
                  <c:v>4.68627456854792E-4</c:v>
                </c:pt>
                <c:pt idx="20">
                  <c:v>2.3444810297461492E-4</c:v>
                </c:pt>
                <c:pt idx="21">
                  <c:v>1.1719559054817849E-4</c:v>
                </c:pt>
                <c:pt idx="22">
                  <c:v>5.855961912211903E-5</c:v>
                </c:pt>
                <c:pt idx="23">
                  <c:v>2.9254749545627766E-5</c:v>
                </c:pt>
              </c:numCache>
            </c:numRef>
          </c:yVal>
          <c:smooth val="1"/>
        </c:ser>
        <c:ser>
          <c:idx val="1"/>
          <c:order val="1"/>
          <c:tx>
            <c:v>Imitators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'Old Figure'!$A$9:$A$32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'Old Figure'!$G$9:$G$32</c:f>
              <c:numCache>
                <c:formatCode>0.000</c:formatCode>
                <c:ptCount val="24"/>
                <c:pt idx="0">
                  <c:v>0</c:v>
                </c:pt>
                <c:pt idx="1">
                  <c:v>0.13631333518530001</c:v>
                </c:pt>
                <c:pt idx="2">
                  <c:v>0.33198964389404118</c:v>
                </c:pt>
                <c:pt idx="3">
                  <c:v>0.60663523206574688</c:v>
                </c:pt>
                <c:pt idx="4">
                  <c:v>0.97915967942284043</c:v>
                </c:pt>
                <c:pt idx="5">
                  <c:v>1.4585780159383883</c:v>
                </c:pt>
                <c:pt idx="6">
                  <c:v>2.0267282187372007</c:v>
                </c:pt>
                <c:pt idx="7">
                  <c:v>2.6146364162601312</c:v>
                </c:pt>
                <c:pt idx="8">
                  <c:v>3.0873681605778289</c:v>
                </c:pt>
                <c:pt idx="9">
                  <c:v>3.2705659360810562</c:v>
                </c:pt>
                <c:pt idx="10">
                  <c:v>3.0446205363924772</c:v>
                </c:pt>
                <c:pt idx="11">
                  <c:v>2.4571078095899419</c:v>
                </c:pt>
                <c:pt idx="12">
                  <c:v>1.7221428301534594</c:v>
                </c:pt>
                <c:pt idx="13">
                  <c:v>1.0694773658910413</c:v>
                </c:pt>
                <c:pt idx="14">
                  <c:v>0.60742000594676826</c:v>
                </c:pt>
                <c:pt idx="15">
                  <c:v>0.3256913267170003</c:v>
                </c:pt>
                <c:pt idx="16">
                  <c:v>0.16888344752447146</c:v>
                </c:pt>
                <c:pt idx="17">
                  <c:v>8.5994075695885214E-2</c:v>
                </c:pt>
                <c:pt idx="18">
                  <c:v>4.3373464880616212E-2</c:v>
                </c:pt>
                <c:pt idx="19">
                  <c:v>2.1770627422555585E-2</c:v>
                </c:pt>
                <c:pt idx="20">
                  <c:v>1.0900643295546124E-2</c:v>
                </c:pt>
                <c:pt idx="21">
                  <c:v>5.4512727310160533E-3</c:v>
                </c:pt>
                <c:pt idx="22">
                  <c:v>2.7244289446464133E-3</c:v>
                </c:pt>
                <c:pt idx="23">
                  <c:v>1.3611904737136974E-3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96608"/>
        <c:axId val="166598912"/>
      </c:scatterChart>
      <c:valAx>
        <c:axId val="166596608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 </a:t>
                </a:r>
              </a:p>
            </c:rich>
          </c:tx>
          <c:layout>
            <c:manualLayout>
              <c:xMode val="edge"/>
              <c:yMode val="edge"/>
              <c:x val="0.54576271186440672"/>
              <c:y val="0.860608607388161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598912"/>
        <c:crosses val="autoZero"/>
        <c:crossBetween val="midCat"/>
      </c:valAx>
      <c:valAx>
        <c:axId val="166598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Non-cumulative Adopters 
(in millions)</a:t>
                </a:r>
              </a:p>
            </c:rich>
          </c:tx>
          <c:layout>
            <c:manualLayout>
              <c:xMode val="edge"/>
              <c:yMode val="edge"/>
              <c:x val="4.4067796610169491E-2"/>
              <c:y val="0.221212775842731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5966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69491525423729"/>
          <c:y val="0.19697027985996643"/>
          <c:w val="0.19152542372881357"/>
          <c:h val="0.14848528789443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6</xdr:row>
      <xdr:rowOff>85725</xdr:rowOff>
    </xdr:from>
    <xdr:to>
      <xdr:col>16</xdr:col>
      <xdr:colOff>104775</xdr:colOff>
      <xdr:row>22</xdr:row>
      <xdr:rowOff>28575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219075</xdr:colOff>
      <xdr:row>23</xdr:row>
      <xdr:rowOff>152400</xdr:rowOff>
    </xdr:from>
    <xdr:to>
      <xdr:col>16</xdr:col>
      <xdr:colOff>114300</xdr:colOff>
      <xdr:row>43</xdr:row>
      <xdr:rowOff>57150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19" workbookViewId="0">
      <selection activeCell="J8" sqref="J8"/>
    </sheetView>
  </sheetViews>
  <sheetFormatPr defaultRowHeight="12.75" x14ac:dyDescent="0.2"/>
  <cols>
    <col min="1" max="1" width="17.140625" customWidth="1"/>
    <col min="2" max="2" width="9.140625" style="1"/>
    <col min="3" max="3" width="10.28515625" style="1" bestFit="1" customWidth="1"/>
    <col min="4" max="4" width="11.5703125" customWidth="1"/>
    <col min="5" max="5" width="13.7109375" bestFit="1" customWidth="1"/>
    <col min="6" max="6" width="13.42578125" bestFit="1" customWidth="1"/>
    <col min="7" max="7" width="11.7109375" bestFit="1" customWidth="1"/>
    <col min="8" max="8" width="12.7109375" customWidth="1"/>
    <col min="11" max="11" width="10.140625" bestFit="1" customWidth="1"/>
  </cols>
  <sheetData>
    <row r="1" spans="1:8" x14ac:dyDescent="0.2">
      <c r="A1" s="20" t="s">
        <v>33</v>
      </c>
    </row>
    <row r="3" spans="1:8" x14ac:dyDescent="0.2">
      <c r="A3" s="12" t="s">
        <v>0</v>
      </c>
      <c r="B3" s="27">
        <v>28</v>
      </c>
      <c r="C3" s="18"/>
    </row>
    <row r="4" spans="1:8" x14ac:dyDescent="0.2">
      <c r="A4" s="13" t="s">
        <v>1</v>
      </c>
      <c r="B4" s="35">
        <f>0.026</f>
        <v>2.5999999999999999E-2</v>
      </c>
    </row>
    <row r="5" spans="1:8" x14ac:dyDescent="0.2">
      <c r="A5" s="14" t="s">
        <v>2</v>
      </c>
      <c r="B5" s="36">
        <v>0.40300000000000002</v>
      </c>
    </row>
    <row r="7" spans="1:8" x14ac:dyDescent="0.2">
      <c r="A7" s="7" t="s">
        <v>3</v>
      </c>
      <c r="B7" s="7" t="s">
        <v>4</v>
      </c>
      <c r="C7" s="7" t="s">
        <v>7</v>
      </c>
      <c r="D7" s="8" t="s">
        <v>5</v>
      </c>
      <c r="E7" s="7" t="s">
        <v>8</v>
      </c>
      <c r="F7" s="7" t="s">
        <v>9</v>
      </c>
      <c r="G7" s="7" t="s">
        <v>10</v>
      </c>
    </row>
    <row r="8" spans="1:8" x14ac:dyDescent="0.2">
      <c r="A8" s="2">
        <v>0</v>
      </c>
      <c r="B8" s="2">
        <v>0</v>
      </c>
      <c r="C8" s="2">
        <v>0</v>
      </c>
      <c r="D8" s="5">
        <v>0</v>
      </c>
      <c r="E8" s="2">
        <v>0</v>
      </c>
      <c r="F8" s="2">
        <v>0</v>
      </c>
      <c r="G8" s="2">
        <v>0</v>
      </c>
    </row>
    <row r="9" spans="1:8" x14ac:dyDescent="0.2">
      <c r="A9" s="1">
        <v>1</v>
      </c>
      <c r="B9" s="4">
        <f>C9</f>
        <v>0.72799999999999998</v>
      </c>
      <c r="C9" s="4">
        <f t="shared" ref="C9:C32" si="0">(p+(q*B8/m))*(m-B8)</f>
        <v>0.72799999999999998</v>
      </c>
      <c r="D9" s="3">
        <f t="shared" ref="D9:E32" si="1">B9/$B$3</f>
        <v>2.5999999999999999E-2</v>
      </c>
      <c r="E9" s="3">
        <f t="shared" si="1"/>
        <v>2.5999999999999999E-2</v>
      </c>
      <c r="F9" s="6">
        <f t="shared" ref="F9:F32" si="2">p*(m-B8)</f>
        <v>0.72799999999999998</v>
      </c>
      <c r="G9" s="6">
        <f t="shared" ref="G9:G32" si="3">(q*B8/m)*(m-B8)</f>
        <v>0</v>
      </c>
      <c r="H9" s="4"/>
    </row>
    <row r="10" spans="1:8" x14ac:dyDescent="0.2">
      <c r="A10" s="1">
        <v>2</v>
      </c>
      <c r="B10" s="4">
        <f t="shared" ref="B10:B32" si="4">C10+B9</f>
        <v>1.7228280159999998</v>
      </c>
      <c r="C10" s="4">
        <f t="shared" si="0"/>
        <v>0.99482801599999982</v>
      </c>
      <c r="D10" s="3">
        <f t="shared" si="1"/>
        <v>6.1529571999999991E-2</v>
      </c>
      <c r="E10" s="3">
        <f t="shared" si="1"/>
        <v>3.5529571999999995E-2</v>
      </c>
      <c r="F10" s="6">
        <f t="shared" si="2"/>
        <v>0.70907199999999992</v>
      </c>
      <c r="G10" s="6">
        <f t="shared" si="3"/>
        <v>0.285756016</v>
      </c>
      <c r="H10" s="4"/>
    </row>
    <row r="11" spans="1:8" x14ac:dyDescent="0.2">
      <c r="A11" s="1">
        <v>3</v>
      </c>
      <c r="B11" s="4">
        <f t="shared" si="4"/>
        <v>3.0576142152390018</v>
      </c>
      <c r="C11" s="4">
        <f t="shared" si="0"/>
        <v>1.334786199239002</v>
      </c>
      <c r="D11" s="3">
        <f t="shared" si="1"/>
        <v>0.10920050768710721</v>
      </c>
      <c r="E11" s="3">
        <f t="shared" si="1"/>
        <v>4.7670935687107216E-2</v>
      </c>
      <c r="F11" s="6">
        <f t="shared" si="2"/>
        <v>0.68320647158399994</v>
      </c>
      <c r="G11" s="6">
        <f t="shared" si="3"/>
        <v>0.65157972765500205</v>
      </c>
      <c r="H11" s="4"/>
    </row>
    <row r="12" spans="1:8" x14ac:dyDescent="0.2">
      <c r="A12" s="1">
        <v>4</v>
      </c>
      <c r="B12" s="4">
        <f t="shared" si="4"/>
        <v>4.8037758854640931</v>
      </c>
      <c r="C12" s="4">
        <f t="shared" si="0"/>
        <v>1.7461616702250915</v>
      </c>
      <c r="D12" s="3">
        <f t="shared" si="1"/>
        <v>0.17156342448086045</v>
      </c>
      <c r="E12" s="3">
        <f t="shared" si="1"/>
        <v>6.2362916793753269E-2</v>
      </c>
      <c r="F12" s="6">
        <f t="shared" si="2"/>
        <v>0.64850203040378585</v>
      </c>
      <c r="G12" s="6">
        <f t="shared" si="3"/>
        <v>1.0976596398213057</v>
      </c>
      <c r="H12" s="4"/>
    </row>
    <row r="13" spans="1:8" x14ac:dyDescent="0.2">
      <c r="A13" s="1">
        <v>5</v>
      </c>
      <c r="B13" s="4">
        <f t="shared" si="4"/>
        <v>7.0106660410204906</v>
      </c>
      <c r="C13" s="4">
        <f t="shared" si="0"/>
        <v>2.206890155556398</v>
      </c>
      <c r="D13" s="3">
        <f t="shared" si="1"/>
        <v>0.25038093003644607</v>
      </c>
      <c r="E13" s="3">
        <f t="shared" si="1"/>
        <v>7.8817505555585643E-2</v>
      </c>
      <c r="F13" s="6">
        <f t="shared" si="2"/>
        <v>0.60310182697793357</v>
      </c>
      <c r="G13" s="6">
        <f t="shared" si="3"/>
        <v>1.6037883285784644</v>
      </c>
      <c r="H13" s="4"/>
    </row>
    <row r="14" spans="1:8" x14ac:dyDescent="0.2">
      <c r="A14" s="1">
        <v>6</v>
      </c>
      <c r="B14" s="4">
        <f t="shared" si="4"/>
        <v>9.6742862938243821</v>
      </c>
      <c r="C14" s="4">
        <f t="shared" si="0"/>
        <v>2.6636202528038919</v>
      </c>
      <c r="D14" s="3">
        <f t="shared" si="1"/>
        <v>0.34551022477944221</v>
      </c>
      <c r="E14" s="3">
        <f t="shared" si="1"/>
        <v>9.512929474299614E-2</v>
      </c>
      <c r="F14" s="6">
        <f t="shared" si="2"/>
        <v>0.54572268293346715</v>
      </c>
      <c r="G14" s="6">
        <f t="shared" si="3"/>
        <v>2.1178975698704248</v>
      </c>
      <c r="H14" s="4"/>
    </row>
    <row r="15" spans="1:8" x14ac:dyDescent="0.2">
      <c r="A15" s="1">
        <v>7</v>
      </c>
      <c r="B15" s="4">
        <f t="shared" si="4"/>
        <v>12.70243859931632</v>
      </c>
      <c r="C15" s="4">
        <f t="shared" si="0"/>
        <v>3.028152305491937</v>
      </c>
      <c r="D15" s="3">
        <f t="shared" si="1"/>
        <v>0.4536585214041543</v>
      </c>
      <c r="E15" s="3">
        <f t="shared" si="1"/>
        <v>0.10814829662471204</v>
      </c>
      <c r="F15" s="6">
        <f t="shared" si="2"/>
        <v>0.47646855636056606</v>
      </c>
      <c r="G15" s="6">
        <f t="shared" si="3"/>
        <v>2.5516837491313709</v>
      </c>
      <c r="H15" s="4"/>
    </row>
    <row r="16" spans="1:8" x14ac:dyDescent="0.2">
      <c r="A16" s="1">
        <v>8</v>
      </c>
      <c r="B16" s="4">
        <f t="shared" si="4"/>
        <v>15.896942437441835</v>
      </c>
      <c r="C16" s="4">
        <f t="shared" si="0"/>
        <v>3.1945038381255144</v>
      </c>
      <c r="D16" s="3">
        <f t="shared" si="1"/>
        <v>0.56774794419435126</v>
      </c>
      <c r="E16" s="3">
        <f t="shared" si="1"/>
        <v>0.11408942279019695</v>
      </c>
      <c r="F16" s="6">
        <f t="shared" si="2"/>
        <v>0.39773659641777565</v>
      </c>
      <c r="G16" s="6">
        <f t="shared" si="3"/>
        <v>2.7967672417077392</v>
      </c>
      <c r="H16" s="4"/>
    </row>
    <row r="17" spans="1:8" x14ac:dyDescent="0.2">
      <c r="A17" s="1">
        <v>9</v>
      </c>
      <c r="B17" s="4">
        <f t="shared" si="4"/>
        <v>18.980830812060489</v>
      </c>
      <c r="C17" s="4">
        <f t="shared" si="0"/>
        <v>3.0838883746186547</v>
      </c>
      <c r="D17" s="3">
        <f t="shared" si="1"/>
        <v>0.67788681471644607</v>
      </c>
      <c r="E17" s="3">
        <f t="shared" si="1"/>
        <v>0.11013887052209481</v>
      </c>
      <c r="F17" s="6">
        <f t="shared" si="2"/>
        <v>0.31467949662651229</v>
      </c>
      <c r="G17" s="6">
        <f t="shared" si="3"/>
        <v>2.7692088779921424</v>
      </c>
      <c r="H17" s="4"/>
    </row>
    <row r="18" spans="1:8" x14ac:dyDescent="0.2">
      <c r="A18" s="1">
        <v>10</v>
      </c>
      <c r="B18" s="4">
        <f t="shared" si="4"/>
        <v>21.679261487443931</v>
      </c>
      <c r="C18" s="4">
        <f t="shared" si="0"/>
        <v>2.6984306753834431</v>
      </c>
      <c r="D18" s="3">
        <f t="shared" si="1"/>
        <v>0.77425933883728326</v>
      </c>
      <c r="E18" s="3">
        <f t="shared" si="1"/>
        <v>9.6372524120837258E-2</v>
      </c>
      <c r="F18" s="6">
        <f t="shared" si="2"/>
        <v>0.23449839888642726</v>
      </c>
      <c r="G18" s="6">
        <f t="shared" si="3"/>
        <v>2.4639322764970153</v>
      </c>
      <c r="H18" s="4"/>
    </row>
    <row r="19" spans="1:8" x14ac:dyDescent="0.2">
      <c r="A19" s="1">
        <v>11</v>
      </c>
      <c r="B19" s="4">
        <f t="shared" si="4"/>
        <v>23.81583868991348</v>
      </c>
      <c r="C19" s="4">
        <f t="shared" si="0"/>
        <v>2.1365772024695495</v>
      </c>
      <c r="D19" s="3">
        <f t="shared" si="1"/>
        <v>0.85056566749690998</v>
      </c>
      <c r="E19" s="3">
        <f t="shared" si="1"/>
        <v>7.6306328659626763E-2</v>
      </c>
      <c r="F19" s="6">
        <f t="shared" si="2"/>
        <v>0.1643392013264578</v>
      </c>
      <c r="G19" s="6">
        <f t="shared" si="3"/>
        <v>1.9722380011430913</v>
      </c>
      <c r="H19" s="4"/>
    </row>
    <row r="20" spans="1:8" x14ac:dyDescent="0.2">
      <c r="A20" s="1">
        <v>12</v>
      </c>
      <c r="B20" s="4">
        <f t="shared" si="4"/>
        <v>25.358865178900011</v>
      </c>
      <c r="C20" s="4">
        <f t="shared" si="0"/>
        <v>1.5430264889865295</v>
      </c>
      <c r="D20" s="3">
        <f t="shared" si="1"/>
        <v>0.90567375638928616</v>
      </c>
      <c r="E20" s="3">
        <f t="shared" si="1"/>
        <v>5.5108088892376055E-2</v>
      </c>
      <c r="F20" s="6">
        <f t="shared" si="2"/>
        <v>0.1087881940622495</v>
      </c>
      <c r="G20" s="6">
        <f t="shared" si="3"/>
        <v>1.43423829492428</v>
      </c>
      <c r="H20" s="4"/>
    </row>
    <row r="21" spans="1:8" x14ac:dyDescent="0.2">
      <c r="A21" s="1">
        <v>13</v>
      </c>
      <c r="B21" s="4">
        <f t="shared" si="4"/>
        <v>26.391513301554749</v>
      </c>
      <c r="C21" s="4">
        <f t="shared" si="0"/>
        <v>1.032648122654737</v>
      </c>
      <c r="D21" s="3">
        <f t="shared" si="1"/>
        <v>0.94255404648409813</v>
      </c>
      <c r="E21" s="3">
        <f t="shared" si="1"/>
        <v>3.6880290094812036E-2</v>
      </c>
      <c r="F21" s="6">
        <f t="shared" si="2"/>
        <v>6.866950534859971E-2</v>
      </c>
      <c r="G21" s="6">
        <f t="shared" si="3"/>
        <v>0.96397861730613732</v>
      </c>
      <c r="H21" s="4"/>
    </row>
    <row r="22" spans="1:8" x14ac:dyDescent="0.2">
      <c r="A22" s="1">
        <v>14</v>
      </c>
      <c r="B22" s="4">
        <f t="shared" si="4"/>
        <v>27.0443164711875</v>
      </c>
      <c r="C22" s="4">
        <f t="shared" si="0"/>
        <v>0.65280316963275042</v>
      </c>
      <c r="D22" s="3">
        <f t="shared" si="1"/>
        <v>0.96586844539955352</v>
      </c>
      <c r="E22" s="3">
        <f t="shared" si="1"/>
        <v>2.3314398915455371E-2</v>
      </c>
      <c r="F22" s="6">
        <f t="shared" si="2"/>
        <v>4.1820654159576524E-2</v>
      </c>
      <c r="G22" s="6">
        <f t="shared" si="3"/>
        <v>0.61098251547317384</v>
      </c>
      <c r="H22" s="4"/>
    </row>
    <row r="23" spans="1:8" x14ac:dyDescent="0.2">
      <c r="A23" s="1">
        <v>15</v>
      </c>
      <c r="B23" s="4">
        <f t="shared" si="4"/>
        <v>27.441159262336665</v>
      </c>
      <c r="C23" s="4">
        <f t="shared" si="0"/>
        <v>0.39684279114916493</v>
      </c>
      <c r="D23" s="3">
        <f t="shared" si="1"/>
        <v>0.98004140222630942</v>
      </c>
      <c r="E23" s="3">
        <f t="shared" si="1"/>
        <v>1.417295682675589E-2</v>
      </c>
      <c r="F23" s="6">
        <f t="shared" si="2"/>
        <v>2.4847771749124999E-2</v>
      </c>
      <c r="G23" s="6">
        <f t="shared" si="3"/>
        <v>0.37199501940003987</v>
      </c>
      <c r="H23" s="4"/>
    </row>
    <row r="24" spans="1:8" x14ac:dyDescent="0.2">
      <c r="A24" s="1">
        <v>16</v>
      </c>
      <c r="B24" s="4">
        <f t="shared" si="4"/>
        <v>27.676407006760698</v>
      </c>
      <c r="C24" s="4">
        <f t="shared" si="0"/>
        <v>0.23524774442403296</v>
      </c>
      <c r="D24" s="3">
        <f t="shared" si="1"/>
        <v>0.98844310738431063</v>
      </c>
      <c r="E24" s="3">
        <f t="shared" si="1"/>
        <v>8.401705158001177E-3</v>
      </c>
      <c r="F24" s="6">
        <f t="shared" si="2"/>
        <v>1.4529859179246705E-2</v>
      </c>
      <c r="G24" s="6">
        <f t="shared" si="3"/>
        <v>0.22071788524478622</v>
      </c>
      <c r="H24" s="4"/>
    </row>
    <row r="25" spans="1:8" x14ac:dyDescent="0.2">
      <c r="A25" s="1">
        <v>17</v>
      </c>
      <c r="B25" s="4">
        <f t="shared" si="4"/>
        <v>27.813721289882313</v>
      </c>
      <c r="C25" s="4">
        <f t="shared" si="0"/>
        <v>0.13731428312161598</v>
      </c>
      <c r="D25" s="3">
        <f t="shared" si="1"/>
        <v>0.99334718892436835</v>
      </c>
      <c r="E25" s="3">
        <f t="shared" si="1"/>
        <v>4.9040815400577132E-3</v>
      </c>
      <c r="F25" s="6">
        <f t="shared" si="2"/>
        <v>8.4134178242218517E-3</v>
      </c>
      <c r="G25" s="6">
        <f t="shared" si="3"/>
        <v>0.12890086529739411</v>
      </c>
      <c r="H25" s="4"/>
    </row>
    <row r="26" spans="1:8" x14ac:dyDescent="0.2">
      <c r="A26" s="1">
        <v>18</v>
      </c>
      <c r="B26" s="4">
        <f t="shared" si="4"/>
        <v>27.893135427865275</v>
      </c>
      <c r="C26" s="4">
        <f t="shared" si="0"/>
        <v>7.941413798296014E-2</v>
      </c>
      <c r="D26" s="3">
        <f t="shared" si="1"/>
        <v>0.99618340813804551</v>
      </c>
      <c r="E26" s="3">
        <f t="shared" si="1"/>
        <v>2.8362192136771477E-3</v>
      </c>
      <c r="F26" s="6">
        <f t="shared" si="2"/>
        <v>4.8432464630598629E-3</v>
      </c>
      <c r="G26" s="6">
        <f t="shared" si="3"/>
        <v>7.4570891519900276E-2</v>
      </c>
      <c r="H26" s="4"/>
    </row>
    <row r="27" spans="1:8" x14ac:dyDescent="0.2">
      <c r="A27" s="1">
        <v>19</v>
      </c>
      <c r="B27" s="4">
        <f t="shared" si="4"/>
        <v>27.938815962353168</v>
      </c>
      <c r="C27" s="4">
        <f t="shared" si="0"/>
        <v>4.5680534487891847E-2</v>
      </c>
      <c r="D27" s="3">
        <f t="shared" si="1"/>
        <v>0.9978148557983274</v>
      </c>
      <c r="E27" s="3">
        <f t="shared" si="1"/>
        <v>1.6314476602818516E-3</v>
      </c>
      <c r="F27" s="6">
        <f t="shared" si="2"/>
        <v>2.7784788755028556E-3</v>
      </c>
      <c r="G27" s="6">
        <f t="shared" si="3"/>
        <v>4.2902055612388988E-2</v>
      </c>
      <c r="H27" s="4"/>
    </row>
    <row r="28" spans="1:8" x14ac:dyDescent="0.2">
      <c r="A28" s="1">
        <v>20</v>
      </c>
      <c r="B28" s="4">
        <f t="shared" si="4"/>
        <v>27.965010035037785</v>
      </c>
      <c r="C28" s="4">
        <f t="shared" si="0"/>
        <v>2.6194072684616175E-2</v>
      </c>
      <c r="D28" s="3">
        <f t="shared" si="1"/>
        <v>0.99875035839420667</v>
      </c>
      <c r="E28" s="3">
        <f t="shared" si="1"/>
        <v>9.3550259587914914E-4</v>
      </c>
      <c r="F28" s="6">
        <f t="shared" si="2"/>
        <v>1.5907849788176377E-3</v>
      </c>
      <c r="G28" s="6">
        <f t="shared" si="3"/>
        <v>2.4603287705798536E-2</v>
      </c>
      <c r="H28" s="4"/>
    </row>
    <row r="29" spans="1:8" x14ac:dyDescent="0.2">
      <c r="A29" s="1">
        <v>21</v>
      </c>
      <c r="B29" s="4">
        <f t="shared" si="4"/>
        <v>27.980003108865425</v>
      </c>
      <c r="C29" s="4">
        <f t="shared" si="0"/>
        <v>1.4993073827641208E-2</v>
      </c>
      <c r="D29" s="3">
        <f t="shared" si="1"/>
        <v>0.99928582531662236</v>
      </c>
      <c r="E29" s="3">
        <f t="shared" si="1"/>
        <v>5.3546692241575745E-4</v>
      </c>
      <c r="F29" s="6">
        <f t="shared" si="2"/>
        <v>9.0973908901757739E-4</v>
      </c>
      <c r="G29" s="6">
        <f t="shared" si="3"/>
        <v>1.4083334738623629E-2</v>
      </c>
      <c r="H29" s="4"/>
    </row>
    <row r="30" spans="1:8" x14ac:dyDescent="0.2">
      <c r="A30" s="1">
        <v>22</v>
      </c>
      <c r="B30" s="4">
        <f t="shared" si="4"/>
        <v>27.988576019808981</v>
      </c>
      <c r="C30" s="4">
        <f t="shared" si="0"/>
        <v>8.5729109435546316E-3</v>
      </c>
      <c r="D30" s="3">
        <f t="shared" si="1"/>
        <v>0.99959200070746357</v>
      </c>
      <c r="E30" s="3">
        <f t="shared" si="1"/>
        <v>3.0617539084123682E-4</v>
      </c>
      <c r="F30" s="6">
        <f t="shared" si="2"/>
        <v>5.1991916949894795E-4</v>
      </c>
      <c r="G30" s="6">
        <f t="shared" si="3"/>
        <v>8.0529917740556831E-3</v>
      </c>
      <c r="H30" s="4"/>
    </row>
    <row r="31" spans="1:8" x14ac:dyDescent="0.2">
      <c r="A31" s="1">
        <v>23</v>
      </c>
      <c r="B31" s="4">
        <f t="shared" si="4"/>
        <v>27.993475028937667</v>
      </c>
      <c r="C31" s="4">
        <f t="shared" si="0"/>
        <v>4.8990091286851851E-3</v>
      </c>
      <c r="D31" s="3">
        <f t="shared" si="1"/>
        <v>0.99976696531920239</v>
      </c>
      <c r="E31" s="3">
        <f t="shared" si="1"/>
        <v>1.749646117387566E-4</v>
      </c>
      <c r="F31" s="6">
        <f t="shared" si="2"/>
        <v>2.9702348496648764E-4</v>
      </c>
      <c r="G31" s="6">
        <f t="shared" si="3"/>
        <v>4.6019856437186975E-3</v>
      </c>
      <c r="H31" s="4"/>
    </row>
    <row r="32" spans="1:8" x14ac:dyDescent="0.2">
      <c r="A32" s="1">
        <v>24</v>
      </c>
      <c r="B32" s="4">
        <f t="shared" si="4"/>
        <v>27.996273628743953</v>
      </c>
      <c r="C32" s="4">
        <f t="shared" si="0"/>
        <v>2.798599806287896E-3</v>
      </c>
      <c r="D32" s="3">
        <f t="shared" si="1"/>
        <v>0.999866915312284</v>
      </c>
      <c r="E32" s="3">
        <f t="shared" si="1"/>
        <v>9.9949993081710576E-5</v>
      </c>
      <c r="F32" s="6">
        <f t="shared" si="2"/>
        <v>1.6964924762066856E-4</v>
      </c>
      <c r="G32" s="6">
        <f t="shared" si="3"/>
        <v>2.6289505586672272E-3</v>
      </c>
      <c r="H32" s="4"/>
    </row>
    <row r="33" spans="1:6" x14ac:dyDescent="0.2">
      <c r="A33" s="1"/>
    </row>
    <row r="34" spans="1:6" x14ac:dyDescent="0.2">
      <c r="A34" s="32" t="s">
        <v>12</v>
      </c>
      <c r="B34" s="37">
        <v>0.81</v>
      </c>
      <c r="C34" s="18"/>
    </row>
    <row r="35" spans="1:6" x14ac:dyDescent="0.2">
      <c r="A35" s="33" t="s">
        <v>13</v>
      </c>
      <c r="B35" s="38">
        <v>9.2999999999999999E-2</v>
      </c>
    </row>
    <row r="36" spans="1:6" x14ac:dyDescent="0.2">
      <c r="A36" s="33" t="s">
        <v>26</v>
      </c>
      <c r="B36" s="39">
        <v>95</v>
      </c>
    </row>
    <row r="37" spans="1:6" x14ac:dyDescent="0.2">
      <c r="A37" s="33" t="s">
        <v>15</v>
      </c>
      <c r="B37" s="39">
        <f>11*12</f>
        <v>132</v>
      </c>
    </row>
    <row r="38" spans="1:6" x14ac:dyDescent="0.2">
      <c r="A38" s="34" t="s">
        <v>16</v>
      </c>
      <c r="B38" s="40">
        <v>55</v>
      </c>
    </row>
    <row r="39" spans="1:6" x14ac:dyDescent="0.2">
      <c r="A39" s="16" t="s">
        <v>11</v>
      </c>
      <c r="B39" s="17">
        <f>B37-B38</f>
        <v>77</v>
      </c>
    </row>
    <row r="40" spans="1:6" x14ac:dyDescent="0.2">
      <c r="A40" s="15" t="s">
        <v>17</v>
      </c>
      <c r="B40" s="17">
        <f>ROUND(B39/(1+B35-B34),0)</f>
        <v>272</v>
      </c>
    </row>
    <row r="41" spans="1:6" x14ac:dyDescent="0.2">
      <c r="A41" s="15" t="s">
        <v>18</v>
      </c>
      <c r="B41" s="17">
        <f>ROUND(B40-B36,0)</f>
        <v>177</v>
      </c>
      <c r="D41" s="20" t="s">
        <v>30</v>
      </c>
    </row>
    <row r="42" spans="1:6" x14ac:dyDescent="0.2">
      <c r="A42" s="1"/>
      <c r="E42" s="20" t="s">
        <v>27</v>
      </c>
      <c r="F42" s="20" t="s">
        <v>28</v>
      </c>
    </row>
    <row r="43" spans="1:6" ht="15" x14ac:dyDescent="0.2">
      <c r="A43" s="2">
        <v>1</v>
      </c>
      <c r="B43" s="26">
        <f>ROUND(C9*1000,0)</f>
        <v>728</v>
      </c>
      <c r="C43" s="2"/>
      <c r="D43" s="43">
        <f>B43*$B$41</f>
        <v>128856</v>
      </c>
      <c r="E43" s="43">
        <f>D43/(1+$B$35)^(A43-1)</f>
        <v>128856</v>
      </c>
      <c r="F43" s="43">
        <f>D43/(1+$B$35)^(A43)</f>
        <v>117892.04025617566</v>
      </c>
    </row>
    <row r="44" spans="1:6" ht="15" x14ac:dyDescent="0.2">
      <c r="A44" s="2">
        <v>2</v>
      </c>
      <c r="B44" s="26">
        <f t="shared" ref="B44:B57" si="5">ROUND(C10*1000,0)</f>
        <v>995</v>
      </c>
      <c r="C44" s="2"/>
      <c r="D44" s="43">
        <f t="shared" ref="D44:D57" si="6">B44*$B$41</f>
        <v>176115</v>
      </c>
      <c r="E44" s="43">
        <f t="shared" ref="E44:E57" si="7">D44/(1+$B$35)^(A44-1)</f>
        <v>161129.91765782252</v>
      </c>
      <c r="F44" s="43">
        <f t="shared" ref="F44:F57" si="8">D44/(1+$B$35)^(A44)</f>
        <v>147419.86976927952</v>
      </c>
    </row>
    <row r="45" spans="1:6" ht="15" x14ac:dyDescent="0.2">
      <c r="A45" s="2">
        <v>3</v>
      </c>
      <c r="B45" s="26">
        <f t="shared" si="5"/>
        <v>1335</v>
      </c>
      <c r="C45" s="2"/>
      <c r="D45" s="43">
        <f t="shared" si="6"/>
        <v>236295</v>
      </c>
      <c r="E45" s="43">
        <f t="shared" si="7"/>
        <v>197794.498635164</v>
      </c>
      <c r="F45" s="43">
        <f t="shared" si="8"/>
        <v>180964.77459758829</v>
      </c>
    </row>
    <row r="46" spans="1:6" ht="15" x14ac:dyDescent="0.2">
      <c r="A46" s="2">
        <v>4</v>
      </c>
      <c r="B46" s="26">
        <f t="shared" si="5"/>
        <v>1746</v>
      </c>
      <c r="C46" s="2"/>
      <c r="D46" s="43">
        <f t="shared" si="6"/>
        <v>309042</v>
      </c>
      <c r="E46" s="43">
        <f t="shared" si="7"/>
        <v>236677.52542875591</v>
      </c>
      <c r="F46" s="43">
        <f t="shared" si="8"/>
        <v>216539.36452768155</v>
      </c>
    </row>
    <row r="47" spans="1:6" ht="15" x14ac:dyDescent="0.2">
      <c r="A47" s="2">
        <v>5</v>
      </c>
      <c r="B47" s="26">
        <f t="shared" si="5"/>
        <v>2207</v>
      </c>
      <c r="C47" s="2"/>
      <c r="D47" s="43">
        <f t="shared" si="6"/>
        <v>390639</v>
      </c>
      <c r="E47" s="43">
        <f t="shared" si="7"/>
        <v>273712.70189724694</v>
      </c>
      <c r="F47" s="43">
        <f t="shared" si="8"/>
        <v>250423.33201943911</v>
      </c>
    </row>
    <row r="48" spans="1:6" ht="15" x14ac:dyDescent="0.2">
      <c r="A48" s="2">
        <v>6</v>
      </c>
      <c r="B48" s="26">
        <f t="shared" si="5"/>
        <v>2664</v>
      </c>
      <c r="C48" s="2"/>
      <c r="D48" s="43">
        <f t="shared" si="6"/>
        <v>471528</v>
      </c>
      <c r="E48" s="43">
        <f t="shared" si="7"/>
        <v>302278.09537824459</v>
      </c>
      <c r="F48" s="43">
        <f t="shared" si="8"/>
        <v>276558.18424359069</v>
      </c>
    </row>
    <row r="49" spans="1:10" ht="15" x14ac:dyDescent="0.2">
      <c r="A49" s="2">
        <v>7</v>
      </c>
      <c r="B49" s="26">
        <f t="shared" si="5"/>
        <v>3028</v>
      </c>
      <c r="C49" s="2"/>
      <c r="D49" s="43">
        <f t="shared" si="6"/>
        <v>535956</v>
      </c>
      <c r="E49" s="43">
        <f t="shared" si="7"/>
        <v>314346.16437297018</v>
      </c>
      <c r="F49" s="43">
        <f t="shared" si="8"/>
        <v>287599.41845651437</v>
      </c>
    </row>
    <row r="50" spans="1:10" ht="15" x14ac:dyDescent="0.2">
      <c r="A50" s="2">
        <v>8</v>
      </c>
      <c r="B50" s="26">
        <f t="shared" si="5"/>
        <v>3195</v>
      </c>
      <c r="C50" s="2"/>
      <c r="D50" s="43">
        <f t="shared" si="6"/>
        <v>565515</v>
      </c>
      <c r="E50" s="43">
        <f t="shared" si="7"/>
        <v>303461.07726834982</v>
      </c>
      <c r="F50" s="43">
        <f t="shared" si="8"/>
        <v>277640.50985210424</v>
      </c>
    </row>
    <row r="51" spans="1:10" ht="15" x14ac:dyDescent="0.2">
      <c r="A51" s="2">
        <v>9</v>
      </c>
      <c r="B51" s="26">
        <f t="shared" si="5"/>
        <v>3084</v>
      </c>
      <c r="C51" s="2"/>
      <c r="D51" s="43">
        <f t="shared" si="6"/>
        <v>545868</v>
      </c>
      <c r="E51" s="43">
        <f t="shared" si="7"/>
        <v>267994.78321874473</v>
      </c>
      <c r="F51" s="43">
        <f t="shared" si="8"/>
        <v>245191.93341147734</v>
      </c>
    </row>
    <row r="52" spans="1:10" ht="15" x14ac:dyDescent="0.2">
      <c r="A52" s="2">
        <v>10</v>
      </c>
      <c r="B52" s="26">
        <f t="shared" si="5"/>
        <v>2698</v>
      </c>
      <c r="C52" s="2"/>
      <c r="D52" s="43">
        <f t="shared" si="6"/>
        <v>477546</v>
      </c>
      <c r="E52" s="43">
        <f t="shared" si="7"/>
        <v>214503.18947605896</v>
      </c>
      <c r="F52" s="43">
        <f t="shared" si="8"/>
        <v>196251.77445202105</v>
      </c>
    </row>
    <row r="53" spans="1:10" ht="15" x14ac:dyDescent="0.2">
      <c r="A53" s="2">
        <v>11</v>
      </c>
      <c r="B53" s="26">
        <f t="shared" si="5"/>
        <v>2137</v>
      </c>
      <c r="C53" s="2"/>
      <c r="D53" s="43">
        <f t="shared" si="6"/>
        <v>378249</v>
      </c>
      <c r="E53" s="43">
        <f t="shared" si="7"/>
        <v>155444.7894751553</v>
      </c>
      <c r="F53" s="43">
        <f t="shared" si="8"/>
        <v>142218.47161496367</v>
      </c>
    </row>
    <row r="54" spans="1:10" ht="15" x14ac:dyDescent="0.2">
      <c r="A54" s="2">
        <v>12</v>
      </c>
      <c r="B54" s="26">
        <f t="shared" si="5"/>
        <v>1543</v>
      </c>
      <c r="C54" s="2"/>
      <c r="D54" s="43">
        <f t="shared" si="6"/>
        <v>273111</v>
      </c>
      <c r="E54" s="43">
        <f t="shared" si="7"/>
        <v>102687.45985114128</v>
      </c>
      <c r="F54" s="43">
        <f t="shared" si="8"/>
        <v>93950.10050424638</v>
      </c>
    </row>
    <row r="55" spans="1:10" ht="15" x14ac:dyDescent="0.2">
      <c r="A55" s="2">
        <v>13</v>
      </c>
      <c r="B55" s="26">
        <f t="shared" si="5"/>
        <v>1033</v>
      </c>
      <c r="C55" s="2"/>
      <c r="D55" s="43">
        <f t="shared" si="6"/>
        <v>182841</v>
      </c>
      <c r="E55" s="43">
        <f t="shared" si="7"/>
        <v>62897.24810167629</v>
      </c>
      <c r="F55" s="43">
        <f t="shared" si="8"/>
        <v>57545.515189090846</v>
      </c>
    </row>
    <row r="56" spans="1:10" ht="15" x14ac:dyDescent="0.2">
      <c r="A56" s="2">
        <v>14</v>
      </c>
      <c r="B56" s="26">
        <f t="shared" si="5"/>
        <v>653</v>
      </c>
      <c r="C56" s="2"/>
      <c r="D56" s="43">
        <f t="shared" si="6"/>
        <v>115581</v>
      </c>
      <c r="E56" s="43">
        <f t="shared" si="7"/>
        <v>36376.787433181336</v>
      </c>
      <c r="F56" s="43">
        <f t="shared" si="8"/>
        <v>33281.598749479723</v>
      </c>
    </row>
    <row r="57" spans="1:10" ht="15" x14ac:dyDescent="0.2">
      <c r="A57" s="2">
        <v>15</v>
      </c>
      <c r="B57" s="26">
        <f t="shared" si="5"/>
        <v>397</v>
      </c>
      <c r="C57" s="2"/>
      <c r="D57" s="43">
        <f t="shared" si="6"/>
        <v>70269</v>
      </c>
      <c r="E57" s="43">
        <f t="shared" si="7"/>
        <v>20233.988826253368</v>
      </c>
      <c r="F57" s="43">
        <f t="shared" si="8"/>
        <v>18512.341103616989</v>
      </c>
    </row>
    <row r="58" spans="1:10" x14ac:dyDescent="0.2">
      <c r="A58" s="1"/>
      <c r="J58" s="20" t="s">
        <v>32</v>
      </c>
    </row>
    <row r="59" spans="1:10" x14ac:dyDescent="0.2">
      <c r="A59" s="1"/>
      <c r="D59" s="20" t="s">
        <v>22</v>
      </c>
    </row>
    <row r="60" spans="1:10" x14ac:dyDescent="0.2">
      <c r="A60" s="1"/>
      <c r="E60" s="20" t="s">
        <v>27</v>
      </c>
      <c r="F60" s="20" t="s">
        <v>28</v>
      </c>
      <c r="G60" s="20" t="s">
        <v>29</v>
      </c>
      <c r="I60" s="20" t="s">
        <v>31</v>
      </c>
      <c r="J60" s="44">
        <v>0.5</v>
      </c>
    </row>
    <row r="61" spans="1:10" x14ac:dyDescent="0.2">
      <c r="A61" s="1"/>
      <c r="D61" s="20" t="s">
        <v>23</v>
      </c>
      <c r="E61" s="19">
        <f>SUM(E43:E47)/1000000</f>
        <v>0.99817064361898922</v>
      </c>
      <c r="F61" s="42">
        <f>SUM(F43:F47)</f>
        <v>913239.3811701641</v>
      </c>
      <c r="G61" s="42">
        <f>NPV(B35,D43:D47)</f>
        <v>913239.3811701641</v>
      </c>
      <c r="I61" s="41">
        <f>G61/1000000</f>
        <v>0.91323938117016412</v>
      </c>
      <c r="J61" s="41">
        <f>I61/2</f>
        <v>0.45661969058508206</v>
      </c>
    </row>
    <row r="62" spans="1:10" x14ac:dyDescent="0.2">
      <c r="A62" s="1"/>
      <c r="D62" s="20" t="s">
        <v>24</v>
      </c>
      <c r="E62" s="31">
        <f>SUM(E43:E49)/1000000</f>
        <v>1.6147949033702038</v>
      </c>
      <c r="F62" s="42">
        <f>SUM(D43:D49)</f>
        <v>2248431</v>
      </c>
      <c r="G62" s="42">
        <f>NPV(B35,D43:D49)</f>
        <v>1477396.983870269</v>
      </c>
      <c r="I62" s="41">
        <f t="shared" ref="I62:I64" si="9">G62/1000000</f>
        <v>1.477396983870269</v>
      </c>
      <c r="J62" s="41">
        <f t="shared" ref="J62:J64" si="10">I62/2</f>
        <v>0.73869849193513448</v>
      </c>
    </row>
    <row r="63" spans="1:10" x14ac:dyDescent="0.2">
      <c r="A63" s="1"/>
      <c r="D63" s="20" t="s">
        <v>25</v>
      </c>
      <c r="E63" s="31">
        <f>SUM(E43:E52)/1000000</f>
        <v>2.4007539533333575</v>
      </c>
      <c r="F63" s="42">
        <f>SUM(F43:F52)</f>
        <v>2196481.2015858721</v>
      </c>
      <c r="G63" s="42">
        <f>NPV(B35,D43:D52)</f>
        <v>2196481.2015858712</v>
      </c>
      <c r="I63" s="41">
        <f t="shared" si="9"/>
        <v>2.196481201585871</v>
      </c>
      <c r="J63" s="41">
        <f t="shared" si="10"/>
        <v>1.0982406007929355</v>
      </c>
    </row>
    <row r="64" spans="1:10" x14ac:dyDescent="0.2">
      <c r="A64" s="1"/>
      <c r="D64" s="20" t="s">
        <v>21</v>
      </c>
      <c r="E64" s="31">
        <f>SUM(E43:E57)/1000000</f>
        <v>2.7783942270207649</v>
      </c>
      <c r="F64" s="42">
        <f>SUM(E43:E57)</f>
        <v>2778394.2270207647</v>
      </c>
      <c r="G64" s="42">
        <f>NPV(B35,D43:D57)</f>
        <v>2541989.2287472682</v>
      </c>
      <c r="I64" s="41">
        <f t="shared" si="9"/>
        <v>2.5419892287472683</v>
      </c>
      <c r="J64" s="41">
        <f t="shared" si="10"/>
        <v>1.2709946143736341</v>
      </c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16" workbookViewId="0">
      <selection activeCell="A44" sqref="A44"/>
    </sheetView>
  </sheetViews>
  <sheetFormatPr defaultRowHeight="12.75" x14ac:dyDescent="0.2"/>
  <cols>
    <col min="1" max="1" width="13.5703125" customWidth="1"/>
    <col min="2" max="2" width="9.140625" style="1" bestFit="1"/>
    <col min="3" max="3" width="10.28515625" style="1" bestFit="1" customWidth="1"/>
    <col min="4" max="4" width="11.5703125" customWidth="1"/>
    <col min="5" max="5" width="13.7109375" bestFit="1" customWidth="1"/>
    <col min="6" max="6" width="12.85546875" bestFit="1" customWidth="1"/>
    <col min="7" max="7" width="11.7109375" bestFit="1" customWidth="1"/>
    <col min="8" max="8" width="12.7109375" customWidth="1"/>
    <col min="11" max="11" width="10.140625" bestFit="1" customWidth="1"/>
  </cols>
  <sheetData>
    <row r="1" spans="1:8" x14ac:dyDescent="0.2">
      <c r="A1" t="s">
        <v>6</v>
      </c>
    </row>
    <row r="2" spans="1:8" ht="13.5" thickBot="1" x14ac:dyDescent="0.25"/>
    <row r="3" spans="1:8" x14ac:dyDescent="0.2">
      <c r="A3" s="9" t="s">
        <v>0</v>
      </c>
      <c r="B3" s="28">
        <v>26.7</v>
      </c>
      <c r="C3" s="18" t="s">
        <v>19</v>
      </c>
    </row>
    <row r="4" spans="1:8" x14ac:dyDescent="0.2">
      <c r="A4" s="10" t="s">
        <v>1</v>
      </c>
      <c r="B4" s="29">
        <v>1.0529999999999999E-2</v>
      </c>
    </row>
    <row r="5" spans="1:8" ht="13.5" thickBot="1" x14ac:dyDescent="0.25">
      <c r="A5" s="11" t="s">
        <v>2</v>
      </c>
      <c r="B5" s="30">
        <v>0.49</v>
      </c>
    </row>
    <row r="7" spans="1:8" x14ac:dyDescent="0.2">
      <c r="A7" s="7" t="s">
        <v>3</v>
      </c>
      <c r="B7" s="7" t="s">
        <v>4</v>
      </c>
      <c r="C7" s="7" t="s">
        <v>7</v>
      </c>
      <c r="D7" s="8" t="s">
        <v>5</v>
      </c>
      <c r="E7" s="7" t="s">
        <v>8</v>
      </c>
      <c r="F7" s="7" t="s">
        <v>9</v>
      </c>
      <c r="G7" s="7" t="s">
        <v>10</v>
      </c>
    </row>
    <row r="8" spans="1:8" x14ac:dyDescent="0.2">
      <c r="A8" s="2">
        <v>0</v>
      </c>
      <c r="B8" s="2">
        <v>0</v>
      </c>
      <c r="C8" s="2">
        <v>0</v>
      </c>
      <c r="D8" s="5">
        <v>0</v>
      </c>
      <c r="E8" s="2">
        <v>0</v>
      </c>
      <c r="F8" s="2">
        <v>0</v>
      </c>
      <c r="G8" s="2">
        <v>0</v>
      </c>
    </row>
    <row r="9" spans="1:8" x14ac:dyDescent="0.2">
      <c r="A9" s="1">
        <v>1</v>
      </c>
      <c r="B9" s="4">
        <f>C9</f>
        <v>0.28115099999999998</v>
      </c>
      <c r="C9" s="4">
        <f t="shared" ref="C9:C32" si="0">(p+(q*B8/m))*(m-B8)</f>
        <v>0.28115099999999998</v>
      </c>
      <c r="D9" s="3">
        <f t="shared" ref="D9:D32" si="1">B9/$B$3</f>
        <v>1.0529999999999999E-2</v>
      </c>
      <c r="E9" s="3">
        <f t="shared" ref="E9:E32" si="2">C9/$B$3</f>
        <v>1.0529999999999999E-2</v>
      </c>
      <c r="F9" s="6">
        <f t="shared" ref="F9:F32" si="3">p*(m-B8)</f>
        <v>0.28115099999999998</v>
      </c>
      <c r="G9" s="6">
        <f t="shared" ref="G9:G32" si="4">(q*B8/m)*(m-B8)</f>
        <v>0</v>
      </c>
      <c r="H9" s="4"/>
    </row>
    <row r="10" spans="1:8" x14ac:dyDescent="0.2">
      <c r="A10" s="1">
        <v>2</v>
      </c>
      <c r="B10" s="4">
        <f t="shared" ref="B10:B32" si="5">C10+B9</f>
        <v>0.69565481515529992</v>
      </c>
      <c r="C10" s="4">
        <f t="shared" si="0"/>
        <v>0.41450381515529999</v>
      </c>
      <c r="D10" s="3">
        <f t="shared" si="1"/>
        <v>2.6054487458999999E-2</v>
      </c>
      <c r="E10" s="3">
        <f t="shared" si="2"/>
        <v>1.5524487458999999E-2</v>
      </c>
      <c r="F10" s="6">
        <f t="shared" si="3"/>
        <v>0.27819047996999996</v>
      </c>
      <c r="G10" s="6">
        <f t="shared" si="4"/>
        <v>0.13631333518530001</v>
      </c>
      <c r="H10" s="4"/>
    </row>
    <row r="11" spans="1:8" x14ac:dyDescent="0.2">
      <c r="A11" s="1">
        <v>3</v>
      </c>
      <c r="B11" s="4">
        <f t="shared" si="5"/>
        <v>1.3014702138457559</v>
      </c>
      <c r="C11" s="4">
        <f t="shared" si="0"/>
        <v>0.60581539869045586</v>
      </c>
      <c r="D11" s="3">
        <f t="shared" si="1"/>
        <v>4.8744202765758651E-2</v>
      </c>
      <c r="E11" s="3">
        <f t="shared" si="2"/>
        <v>2.2689715306758649E-2</v>
      </c>
      <c r="F11" s="6">
        <f t="shared" si="3"/>
        <v>0.27382575479641463</v>
      </c>
      <c r="G11" s="6">
        <f t="shared" si="4"/>
        <v>0.33198964389404118</v>
      </c>
      <c r="H11" s="4"/>
    </row>
    <row r="12" spans="1:8" x14ac:dyDescent="0.2">
      <c r="A12" s="1">
        <v>4</v>
      </c>
      <c r="B12" s="4">
        <f t="shared" si="5"/>
        <v>2.1755519645597068</v>
      </c>
      <c r="C12" s="4">
        <f t="shared" si="0"/>
        <v>0.874081750713951</v>
      </c>
      <c r="D12" s="3">
        <f t="shared" si="1"/>
        <v>8.1481346987254941E-2</v>
      </c>
      <c r="E12" s="3">
        <f t="shared" si="2"/>
        <v>3.2737144221496296E-2</v>
      </c>
      <c r="F12" s="6">
        <f t="shared" si="3"/>
        <v>0.26744651864820418</v>
      </c>
      <c r="G12" s="6">
        <f t="shared" si="4"/>
        <v>0.60663523206574688</v>
      </c>
      <c r="H12" s="4"/>
    </row>
    <row r="13" spans="1:8" x14ac:dyDescent="0.2">
      <c r="A13" s="1">
        <v>5</v>
      </c>
      <c r="B13" s="4">
        <f t="shared" si="5"/>
        <v>3.4129540817957333</v>
      </c>
      <c r="C13" s="4">
        <f t="shared" si="0"/>
        <v>1.2374021172360266</v>
      </c>
      <c r="D13" s="3">
        <f t="shared" si="1"/>
        <v>0.12782599557287391</v>
      </c>
      <c r="E13" s="3">
        <f t="shared" si="2"/>
        <v>4.6344648585618972E-2</v>
      </c>
      <c r="F13" s="6">
        <f t="shared" si="3"/>
        <v>0.25824243781318629</v>
      </c>
      <c r="G13" s="6">
        <f t="shared" si="4"/>
        <v>0.97915967942284043</v>
      </c>
      <c r="H13" s="4"/>
    </row>
    <row r="14" spans="1:8" x14ac:dyDescent="0.2">
      <c r="A14" s="1">
        <v>6</v>
      </c>
      <c r="B14" s="4">
        <f t="shared" si="5"/>
        <v>5.1167446912528121</v>
      </c>
      <c r="C14" s="4">
        <f t="shared" si="0"/>
        <v>1.7037906094570792</v>
      </c>
      <c r="D14" s="3">
        <f t="shared" si="1"/>
        <v>0.19163837794954353</v>
      </c>
      <c r="E14" s="3">
        <f t="shared" si="2"/>
        <v>6.3812382376669627E-2</v>
      </c>
      <c r="F14" s="6">
        <f t="shared" si="3"/>
        <v>0.24521259351869093</v>
      </c>
      <c r="G14" s="6">
        <f t="shared" si="4"/>
        <v>1.4585780159383883</v>
      </c>
      <c r="H14" s="4"/>
    </row>
    <row r="15" spans="1:8" x14ac:dyDescent="0.2">
      <c r="A15" s="1">
        <v>7</v>
      </c>
      <c r="B15" s="4">
        <f t="shared" si="5"/>
        <v>7.3707445883911209</v>
      </c>
      <c r="C15" s="4">
        <f t="shared" si="0"/>
        <v>2.2539998971383084</v>
      </c>
      <c r="D15" s="3">
        <f t="shared" si="1"/>
        <v>0.27605784975247644</v>
      </c>
      <c r="E15" s="3">
        <f t="shared" si="2"/>
        <v>8.4419471802932897E-2</v>
      </c>
      <c r="F15" s="6">
        <f t="shared" si="3"/>
        <v>0.22727167840110787</v>
      </c>
      <c r="G15" s="6">
        <f t="shared" si="4"/>
        <v>2.0267282187372007</v>
      </c>
      <c r="H15" s="4"/>
    </row>
    <row r="16" spans="1:8" x14ac:dyDescent="0.2">
      <c r="A16" s="1">
        <v>8</v>
      </c>
      <c r="B16" s="4">
        <f t="shared" si="5"/>
        <v>10.188918064135494</v>
      </c>
      <c r="C16" s="4">
        <f t="shared" si="0"/>
        <v>2.818173475744373</v>
      </c>
      <c r="D16" s="3">
        <f t="shared" si="1"/>
        <v>0.38160741813241555</v>
      </c>
      <c r="E16" s="3">
        <f t="shared" si="2"/>
        <v>0.10554956837993906</v>
      </c>
      <c r="F16" s="6">
        <f t="shared" si="3"/>
        <v>0.20353705948424147</v>
      </c>
      <c r="G16" s="6">
        <f t="shared" si="4"/>
        <v>2.6146364162601312</v>
      </c>
      <c r="H16" s="4"/>
    </row>
    <row r="17" spans="1:8" x14ac:dyDescent="0.2">
      <c r="A17" s="1">
        <v>9</v>
      </c>
      <c r="B17" s="4">
        <f t="shared" si="5"/>
        <v>13.450147917497976</v>
      </c>
      <c r="C17" s="4">
        <f t="shared" si="0"/>
        <v>3.2612298533624822</v>
      </c>
      <c r="D17" s="3">
        <f t="shared" si="1"/>
        <v>0.5037508583332575</v>
      </c>
      <c r="E17" s="3">
        <f t="shared" si="2"/>
        <v>0.12214344020084203</v>
      </c>
      <c r="F17" s="6">
        <f t="shared" si="3"/>
        <v>0.17386169278465322</v>
      </c>
      <c r="G17" s="6">
        <f t="shared" si="4"/>
        <v>3.0873681605778289</v>
      </c>
      <c r="H17" s="4"/>
    </row>
    <row r="18" spans="1:8" x14ac:dyDescent="0.2">
      <c r="A18" s="1">
        <v>10</v>
      </c>
      <c r="B18" s="4">
        <f t="shared" si="5"/>
        <v>16.860234796007777</v>
      </c>
      <c r="C18" s="4">
        <f t="shared" si="0"/>
        <v>3.410086878509802</v>
      </c>
      <c r="D18" s="3">
        <f t="shared" si="1"/>
        <v>0.63146946801527259</v>
      </c>
      <c r="E18" s="3">
        <f t="shared" si="2"/>
        <v>0.12771860968201507</v>
      </c>
      <c r="F18" s="6">
        <f t="shared" si="3"/>
        <v>0.1395209424287463</v>
      </c>
      <c r="G18" s="6">
        <f t="shared" si="4"/>
        <v>3.2705659360810562</v>
      </c>
      <c r="H18" s="4"/>
    </row>
    <row r="19" spans="1:8" x14ac:dyDescent="0.2">
      <c r="A19" s="1">
        <v>11</v>
      </c>
      <c r="B19" s="4">
        <f t="shared" si="5"/>
        <v>20.008468059998293</v>
      </c>
      <c r="C19" s="4">
        <f t="shared" si="0"/>
        <v>3.1482332639905151</v>
      </c>
      <c r="D19" s="3">
        <f t="shared" si="1"/>
        <v>0.74938082621716451</v>
      </c>
      <c r="E19" s="3">
        <f t="shared" si="2"/>
        <v>0.11791135820189196</v>
      </c>
      <c r="F19" s="6">
        <f t="shared" si="3"/>
        <v>0.10361272759803809</v>
      </c>
      <c r="G19" s="6">
        <f t="shared" si="4"/>
        <v>3.0446205363924772</v>
      </c>
      <c r="H19" s="4"/>
    </row>
    <row r="20" spans="1:8" x14ac:dyDescent="0.2">
      <c r="A20" s="1">
        <v>12</v>
      </c>
      <c r="B20" s="4">
        <f t="shared" si="5"/>
        <v>22.536037700916452</v>
      </c>
      <c r="C20" s="4">
        <f t="shared" si="0"/>
        <v>2.5275696409181596</v>
      </c>
      <c r="D20" s="3">
        <f t="shared" si="1"/>
        <v>0.84404635583956755</v>
      </c>
      <c r="E20" s="3">
        <f t="shared" si="2"/>
        <v>9.4665529622402989E-2</v>
      </c>
      <c r="F20" s="6">
        <f t="shared" si="3"/>
        <v>7.0461831328217955E-2</v>
      </c>
      <c r="G20" s="6">
        <f t="shared" si="4"/>
        <v>2.4571078095899419</v>
      </c>
      <c r="H20" s="4"/>
    </row>
    <row r="21" spans="1:8" x14ac:dyDescent="0.2">
      <c r="A21" s="1">
        <v>13</v>
      </c>
      <c r="B21" s="4">
        <f t="shared" si="5"/>
        <v>24.302027054079261</v>
      </c>
      <c r="C21" s="4">
        <f t="shared" si="0"/>
        <v>1.765989353162809</v>
      </c>
      <c r="D21" s="3">
        <f t="shared" si="1"/>
        <v>0.91018827917899858</v>
      </c>
      <c r="E21" s="3">
        <f t="shared" si="2"/>
        <v>6.6141923339431058E-2</v>
      </c>
      <c r="F21" s="6">
        <f t="shared" si="3"/>
        <v>4.3846523009349749E-2</v>
      </c>
      <c r="G21" s="6">
        <f t="shared" si="4"/>
        <v>1.7221428301534594</v>
      </c>
      <c r="H21" s="4"/>
    </row>
    <row r="22" spans="1:8" x14ac:dyDescent="0.2">
      <c r="A22" s="1">
        <v>14</v>
      </c>
      <c r="B22" s="4">
        <f t="shared" si="5"/>
        <v>25.396755075090848</v>
      </c>
      <c r="C22" s="4">
        <f t="shared" si="0"/>
        <v>1.0947280210115866</v>
      </c>
      <c r="D22" s="3">
        <f t="shared" si="1"/>
        <v>0.95118932865508798</v>
      </c>
      <c r="E22" s="3">
        <f t="shared" si="2"/>
        <v>4.1001049476089388E-2</v>
      </c>
      <c r="F22" s="6">
        <f t="shared" si="3"/>
        <v>2.5250655120545373E-2</v>
      </c>
      <c r="G22" s="6">
        <f t="shared" si="4"/>
        <v>1.0694773658910413</v>
      </c>
      <c r="H22" s="4"/>
    </row>
    <row r="23" spans="1:8" x14ac:dyDescent="0.2">
      <c r="A23" s="1">
        <v>15</v>
      </c>
      <c r="B23" s="4">
        <f t="shared" si="5"/>
        <v>26.017898250096909</v>
      </c>
      <c r="C23" s="4">
        <f t="shared" si="0"/>
        <v>0.62114317500606153</v>
      </c>
      <c r="D23" s="3">
        <f t="shared" si="1"/>
        <v>0.97445311798115763</v>
      </c>
      <c r="E23" s="3">
        <f t="shared" si="2"/>
        <v>2.326378932606972E-2</v>
      </c>
      <c r="F23" s="6">
        <f t="shared" si="3"/>
        <v>1.3723169059293362E-2</v>
      </c>
      <c r="G23" s="6">
        <f t="shared" si="4"/>
        <v>0.60742000594676826</v>
      </c>
      <c r="H23" s="4"/>
    </row>
    <row r="24" spans="1:8" x14ac:dyDescent="0.2">
      <c r="A24" s="1">
        <v>16</v>
      </c>
      <c r="B24" s="4">
        <f t="shared" si="5"/>
        <v>26.350772108240388</v>
      </c>
      <c r="C24" s="4">
        <f t="shared" si="0"/>
        <v>0.33287385814347981</v>
      </c>
      <c r="D24" s="3">
        <f t="shared" si="1"/>
        <v>0.9869203036794153</v>
      </c>
      <c r="E24" s="3">
        <f t="shared" si="2"/>
        <v>1.2467185698257671E-2</v>
      </c>
      <c r="F24" s="6">
        <f t="shared" si="3"/>
        <v>7.182531426479539E-3</v>
      </c>
      <c r="G24" s="6">
        <f t="shared" si="4"/>
        <v>0.3256913267170003</v>
      </c>
      <c r="H24" s="4"/>
    </row>
    <row r="25" spans="1:8" x14ac:dyDescent="0.2">
      <c r="A25" s="1">
        <v>17</v>
      </c>
      <c r="B25" s="4">
        <f t="shared" si="5"/>
        <v>26.523332925465088</v>
      </c>
      <c r="C25" s="4">
        <f t="shared" si="0"/>
        <v>0.17256081722470018</v>
      </c>
      <c r="D25" s="3">
        <f t="shared" si="1"/>
        <v>0.99338325563539653</v>
      </c>
      <c r="E25" s="3">
        <f t="shared" si="2"/>
        <v>6.46295195598128E-3</v>
      </c>
      <c r="F25" s="6">
        <f t="shared" si="3"/>
        <v>3.6773697002287038E-3</v>
      </c>
      <c r="G25" s="6">
        <f t="shared" si="4"/>
        <v>0.16888344752447146</v>
      </c>
      <c r="H25" s="4"/>
    </row>
    <row r="26" spans="1:8" x14ac:dyDescent="0.2">
      <c r="A26" s="1">
        <v>18</v>
      </c>
      <c r="B26" s="4">
        <f t="shared" si="5"/>
        <v>26.611187305455825</v>
      </c>
      <c r="C26" s="4">
        <f t="shared" si="0"/>
        <v>8.7854379990737821E-2</v>
      </c>
      <c r="D26" s="3">
        <f t="shared" si="1"/>
        <v>0.99667368185227811</v>
      </c>
      <c r="E26" s="3">
        <f t="shared" si="2"/>
        <v>3.2904262168815665E-3</v>
      </c>
      <c r="F26" s="6">
        <f t="shared" si="3"/>
        <v>1.8603042948526201E-3</v>
      </c>
      <c r="G26" s="6">
        <f t="shared" si="4"/>
        <v>8.5994075695885214E-2</v>
      </c>
      <c r="H26" s="4"/>
    </row>
    <row r="27" spans="1:8" x14ac:dyDescent="0.2">
      <c r="A27" s="1">
        <v>19</v>
      </c>
      <c r="B27" s="4">
        <f t="shared" si="5"/>
        <v>26.655495968009991</v>
      </c>
      <c r="C27" s="4">
        <f t="shared" si="0"/>
        <v>4.4308662554166364E-2</v>
      </c>
      <c r="D27" s="3">
        <f t="shared" si="1"/>
        <v>0.99833318232247159</v>
      </c>
      <c r="E27" s="3">
        <f t="shared" si="2"/>
        <v>1.6595004701934969E-3</v>
      </c>
      <c r="F27" s="6">
        <f t="shared" si="3"/>
        <v>9.3519767355015285E-4</v>
      </c>
      <c r="G27" s="6">
        <f t="shared" si="4"/>
        <v>4.3373464880616212E-2</v>
      </c>
      <c r="H27" s="4"/>
    </row>
    <row r="28" spans="1:8" x14ac:dyDescent="0.2">
      <c r="A28" s="1">
        <v>20</v>
      </c>
      <c r="B28" s="4">
        <f t="shared" si="5"/>
        <v>26.6777352228894</v>
      </c>
      <c r="C28" s="4">
        <f t="shared" si="0"/>
        <v>2.2239254879410378E-2</v>
      </c>
      <c r="D28" s="3">
        <f t="shared" si="1"/>
        <v>0.99916611321683146</v>
      </c>
      <c r="E28" s="3">
        <f t="shared" si="2"/>
        <v>8.3293089435993925E-4</v>
      </c>
      <c r="F28" s="6">
        <f t="shared" si="3"/>
        <v>4.68627456854792E-4</v>
      </c>
      <c r="G28" s="6">
        <f t="shared" si="4"/>
        <v>2.1770627422555585E-2</v>
      </c>
      <c r="H28" s="4"/>
    </row>
    <row r="29" spans="1:8" x14ac:dyDescent="0.2">
      <c r="A29" s="1">
        <v>21</v>
      </c>
      <c r="B29" s="4">
        <f t="shared" si="5"/>
        <v>26.688870314287922</v>
      </c>
      <c r="C29" s="4">
        <f t="shared" si="0"/>
        <v>1.1135091398520739E-2</v>
      </c>
      <c r="D29" s="3">
        <f t="shared" si="1"/>
        <v>0.99958315783849894</v>
      </c>
      <c r="E29" s="3">
        <f t="shared" si="2"/>
        <v>4.1704462166744342E-4</v>
      </c>
      <c r="F29" s="6">
        <f t="shared" si="3"/>
        <v>2.3444810297461492E-4</v>
      </c>
      <c r="G29" s="6">
        <f t="shared" si="4"/>
        <v>1.0900643295546124E-2</v>
      </c>
      <c r="H29" s="4"/>
    </row>
    <row r="30" spans="1:8" x14ac:dyDescent="0.2">
      <c r="A30" s="1">
        <v>22</v>
      </c>
      <c r="B30" s="4">
        <f t="shared" si="5"/>
        <v>26.694438782609485</v>
      </c>
      <c r="C30" s="4">
        <f t="shared" si="0"/>
        <v>5.5684683215642327E-3</v>
      </c>
      <c r="D30" s="3">
        <f t="shared" si="1"/>
        <v>0.99979171470447514</v>
      </c>
      <c r="E30" s="3">
        <f t="shared" si="2"/>
        <v>2.085568659761885E-4</v>
      </c>
      <c r="F30" s="6">
        <f t="shared" si="3"/>
        <v>1.1719559054817849E-4</v>
      </c>
      <c r="G30" s="6">
        <f t="shared" si="4"/>
        <v>5.4512727310160533E-3</v>
      </c>
      <c r="H30" s="4"/>
    </row>
    <row r="31" spans="1:8" x14ac:dyDescent="0.2">
      <c r="A31" s="1">
        <v>23</v>
      </c>
      <c r="B31" s="4">
        <f t="shared" si="5"/>
        <v>26.697221771173254</v>
      </c>
      <c r="C31" s="4">
        <f t="shared" si="0"/>
        <v>2.7829885637685324E-3</v>
      </c>
      <c r="D31" s="3">
        <f t="shared" si="1"/>
        <v>0.99989594648588964</v>
      </c>
      <c r="E31" s="3">
        <f t="shared" si="2"/>
        <v>1.0423178141455178E-4</v>
      </c>
      <c r="F31" s="6">
        <f t="shared" si="3"/>
        <v>5.855961912211903E-5</v>
      </c>
      <c r="G31" s="6">
        <f t="shared" si="4"/>
        <v>2.7244289446464133E-3</v>
      </c>
      <c r="H31" s="4"/>
    </row>
    <row r="32" spans="1:8" x14ac:dyDescent="0.2">
      <c r="A32" s="1">
        <v>24</v>
      </c>
      <c r="B32" s="4">
        <f t="shared" si="5"/>
        <v>26.698612216396512</v>
      </c>
      <c r="C32" s="4">
        <f t="shared" si="0"/>
        <v>1.3904452232593252E-3</v>
      </c>
      <c r="D32" s="3">
        <f t="shared" si="1"/>
        <v>0.99994802308601172</v>
      </c>
      <c r="E32" s="3">
        <f t="shared" si="2"/>
        <v>5.2076600122072107E-5</v>
      </c>
      <c r="F32" s="6">
        <f t="shared" si="3"/>
        <v>2.9254749545627766E-5</v>
      </c>
      <c r="G32" s="6">
        <f t="shared" si="4"/>
        <v>1.3611904737136974E-3</v>
      </c>
      <c r="H32" s="4"/>
    </row>
    <row r="33" spans="1:5" x14ac:dyDescent="0.2">
      <c r="A33" s="1"/>
    </row>
    <row r="34" spans="1:5" x14ac:dyDescent="0.2">
      <c r="A34" s="12" t="s">
        <v>12</v>
      </c>
      <c r="B34" s="22">
        <v>0.81</v>
      </c>
      <c r="C34" s="18" t="s">
        <v>20</v>
      </c>
    </row>
    <row r="35" spans="1:5" x14ac:dyDescent="0.2">
      <c r="A35" s="13" t="s">
        <v>13</v>
      </c>
      <c r="B35" s="23">
        <v>7.1999999999999995E-2</v>
      </c>
    </row>
    <row r="36" spans="1:5" x14ac:dyDescent="0.2">
      <c r="A36" s="13" t="s">
        <v>14</v>
      </c>
      <c r="B36" s="24">
        <v>95</v>
      </c>
    </row>
    <row r="37" spans="1:5" x14ac:dyDescent="0.2">
      <c r="A37" s="13" t="s">
        <v>15</v>
      </c>
      <c r="B37" s="24">
        <f>11*12</f>
        <v>132</v>
      </c>
    </row>
    <row r="38" spans="1:5" x14ac:dyDescent="0.2">
      <c r="A38" s="14" t="s">
        <v>16</v>
      </c>
      <c r="B38" s="25">
        <v>55</v>
      </c>
    </row>
    <row r="39" spans="1:5" x14ac:dyDescent="0.2">
      <c r="A39" s="16" t="s">
        <v>11</v>
      </c>
      <c r="B39" s="17">
        <f>B37-B38</f>
        <v>77</v>
      </c>
    </row>
    <row r="40" spans="1:5" x14ac:dyDescent="0.2">
      <c r="A40" s="15" t="s">
        <v>17</v>
      </c>
      <c r="B40" s="17">
        <f>ROUND(B39/(1+B35-B34),0)</f>
        <v>294</v>
      </c>
    </row>
    <row r="41" spans="1:5" x14ac:dyDescent="0.2">
      <c r="A41" s="15" t="s">
        <v>18</v>
      </c>
      <c r="B41" s="17">
        <f>ROUND(B40-B36,0)</f>
        <v>199</v>
      </c>
    </row>
    <row r="42" spans="1:5" x14ac:dyDescent="0.2">
      <c r="A42" s="1"/>
    </row>
    <row r="43" spans="1:5" ht="15" x14ac:dyDescent="0.2">
      <c r="A43" s="2">
        <v>1</v>
      </c>
      <c r="B43" s="26">
        <f>ROUND(C9*1000,0)</f>
        <v>281</v>
      </c>
      <c r="C43" s="2"/>
      <c r="D43" s="21">
        <f>B43*$B$41</f>
        <v>55919</v>
      </c>
      <c r="E43" s="21">
        <f>D43/(1+$B$35)^(A43-1)</f>
        <v>55919</v>
      </c>
    </row>
    <row r="44" spans="1:5" ht="15" x14ac:dyDescent="0.2">
      <c r="A44" s="2">
        <f>A43+1</f>
        <v>2</v>
      </c>
      <c r="B44" s="26">
        <f t="shared" ref="B44:B57" si="6">ROUND(C10*1000,0)</f>
        <v>415</v>
      </c>
      <c r="C44" s="2"/>
      <c r="D44" s="21">
        <f t="shared" ref="D44:D57" si="7">B44*$B$41</f>
        <v>82585</v>
      </c>
      <c r="E44" s="21">
        <f t="shared" ref="E44:E57" si="8">D44/(1+$B$35)^(A44-1)</f>
        <v>77038.246268656716</v>
      </c>
    </row>
    <row r="45" spans="1:5" ht="15" x14ac:dyDescent="0.2">
      <c r="A45" s="2">
        <f t="shared" ref="A45:A57" si="9">A44+1</f>
        <v>3</v>
      </c>
      <c r="B45" s="26">
        <f t="shared" si="6"/>
        <v>606</v>
      </c>
      <c r="C45" s="2"/>
      <c r="D45" s="21">
        <f t="shared" si="7"/>
        <v>120594</v>
      </c>
      <c r="E45" s="21">
        <f t="shared" si="8"/>
        <v>104938.80875473378</v>
      </c>
    </row>
    <row r="46" spans="1:5" ht="15" x14ac:dyDescent="0.2">
      <c r="A46" s="2">
        <f t="shared" si="9"/>
        <v>4</v>
      </c>
      <c r="B46" s="26">
        <f t="shared" si="6"/>
        <v>874</v>
      </c>
      <c r="C46" s="2"/>
      <c r="D46" s="21">
        <f t="shared" si="7"/>
        <v>173926</v>
      </c>
      <c r="E46" s="21">
        <f t="shared" si="8"/>
        <v>141182.267578625</v>
      </c>
    </row>
    <row r="47" spans="1:5" ht="15" x14ac:dyDescent="0.2">
      <c r="A47" s="2">
        <f t="shared" si="9"/>
        <v>5</v>
      </c>
      <c r="B47" s="26">
        <f t="shared" si="6"/>
        <v>1237</v>
      </c>
      <c r="C47" s="2"/>
      <c r="D47" s="21">
        <f t="shared" si="7"/>
        <v>246163</v>
      </c>
      <c r="E47" s="21">
        <f t="shared" si="8"/>
        <v>186399.0242524069</v>
      </c>
    </row>
    <row r="48" spans="1:5" ht="15" x14ac:dyDescent="0.2">
      <c r="A48" s="2">
        <f t="shared" si="9"/>
        <v>6</v>
      </c>
      <c r="B48" s="26">
        <f t="shared" si="6"/>
        <v>1704</v>
      </c>
      <c r="C48" s="2"/>
      <c r="D48" s="21">
        <f t="shared" si="7"/>
        <v>339096</v>
      </c>
      <c r="E48" s="21">
        <f t="shared" si="8"/>
        <v>239523.83695364729</v>
      </c>
    </row>
    <row r="49" spans="1:5" ht="15" x14ac:dyDescent="0.2">
      <c r="A49" s="2">
        <f t="shared" si="9"/>
        <v>7</v>
      </c>
      <c r="B49" s="26">
        <f t="shared" si="6"/>
        <v>2254</v>
      </c>
      <c r="C49" s="2"/>
      <c r="D49" s="21">
        <f t="shared" si="7"/>
        <v>448546</v>
      </c>
      <c r="E49" s="21">
        <f t="shared" si="8"/>
        <v>295554.97627045284</v>
      </c>
    </row>
    <row r="50" spans="1:5" ht="15" x14ac:dyDescent="0.2">
      <c r="A50" s="2">
        <f t="shared" si="9"/>
        <v>8</v>
      </c>
      <c r="B50" s="26">
        <f t="shared" si="6"/>
        <v>2818</v>
      </c>
      <c r="C50" s="2"/>
      <c r="D50" s="21">
        <f t="shared" si="7"/>
        <v>560782</v>
      </c>
      <c r="E50" s="21">
        <f t="shared" si="8"/>
        <v>344691.495024656</v>
      </c>
    </row>
    <row r="51" spans="1:5" ht="15" x14ac:dyDescent="0.2">
      <c r="A51" s="2">
        <f t="shared" si="9"/>
        <v>9</v>
      </c>
      <c r="B51" s="26">
        <f t="shared" si="6"/>
        <v>3261</v>
      </c>
      <c r="C51" s="2"/>
      <c r="D51" s="21">
        <f t="shared" si="7"/>
        <v>648939</v>
      </c>
      <c r="E51" s="21">
        <f t="shared" si="8"/>
        <v>372087.93857034564</v>
      </c>
    </row>
    <row r="52" spans="1:5" ht="15" x14ac:dyDescent="0.2">
      <c r="A52" s="2">
        <f t="shared" si="9"/>
        <v>10</v>
      </c>
      <c r="B52" s="26">
        <f t="shared" si="6"/>
        <v>3410</v>
      </c>
      <c r="C52" s="2"/>
      <c r="D52" s="21">
        <f t="shared" si="7"/>
        <v>678590</v>
      </c>
      <c r="E52" s="21">
        <f t="shared" si="8"/>
        <v>362956.34022987599</v>
      </c>
    </row>
    <row r="53" spans="1:5" ht="15" x14ac:dyDescent="0.2">
      <c r="A53" s="2">
        <f t="shared" si="9"/>
        <v>11</v>
      </c>
      <c r="B53" s="26">
        <f t="shared" si="6"/>
        <v>3148</v>
      </c>
      <c r="C53" s="2"/>
      <c r="D53" s="21">
        <f t="shared" si="7"/>
        <v>626452</v>
      </c>
      <c r="E53" s="21">
        <f t="shared" si="8"/>
        <v>312564.7128298161</v>
      </c>
    </row>
    <row r="54" spans="1:5" ht="15" x14ac:dyDescent="0.2">
      <c r="A54" s="2">
        <f t="shared" si="9"/>
        <v>12</v>
      </c>
      <c r="B54" s="26">
        <f t="shared" si="6"/>
        <v>2528</v>
      </c>
      <c r="C54" s="2"/>
      <c r="D54" s="21">
        <f t="shared" si="7"/>
        <v>503072</v>
      </c>
      <c r="E54" s="21">
        <f t="shared" si="8"/>
        <v>234146.4119702201</v>
      </c>
    </row>
    <row r="55" spans="1:5" ht="15" x14ac:dyDescent="0.2">
      <c r="A55" s="2">
        <f t="shared" si="9"/>
        <v>13</v>
      </c>
      <c r="B55" s="26">
        <f t="shared" si="6"/>
        <v>1766</v>
      </c>
      <c r="C55" s="2"/>
      <c r="D55" s="21">
        <f t="shared" si="7"/>
        <v>351434</v>
      </c>
      <c r="E55" s="21">
        <f t="shared" si="8"/>
        <v>152583.07092630031</v>
      </c>
    </row>
    <row r="56" spans="1:5" ht="15" x14ac:dyDescent="0.2">
      <c r="A56" s="2">
        <f t="shared" si="9"/>
        <v>14</v>
      </c>
      <c r="B56" s="26">
        <f t="shared" si="6"/>
        <v>1095</v>
      </c>
      <c r="C56" s="2"/>
      <c r="D56" s="21">
        <f t="shared" si="7"/>
        <v>217905</v>
      </c>
      <c r="E56" s="21">
        <f t="shared" si="8"/>
        <v>88254.119407368678</v>
      </c>
    </row>
    <row r="57" spans="1:5" ht="15" x14ac:dyDescent="0.2">
      <c r="A57" s="2">
        <f t="shared" si="9"/>
        <v>15</v>
      </c>
      <c r="B57" s="26">
        <f t="shared" si="6"/>
        <v>621</v>
      </c>
      <c r="C57" s="2"/>
      <c r="D57" s="21">
        <f t="shared" si="7"/>
        <v>123579</v>
      </c>
      <c r="E57" s="21">
        <f t="shared" si="8"/>
        <v>46689.334280631047</v>
      </c>
    </row>
    <row r="58" spans="1:5" x14ac:dyDescent="0.2">
      <c r="A58" s="1"/>
    </row>
    <row r="59" spans="1:5" x14ac:dyDescent="0.2">
      <c r="A59" s="1"/>
      <c r="D59" s="20" t="s">
        <v>22</v>
      </c>
    </row>
    <row r="60" spans="1:5" x14ac:dyDescent="0.2">
      <c r="A60" s="1"/>
    </row>
    <row r="61" spans="1:5" x14ac:dyDescent="0.2">
      <c r="A61" s="1"/>
      <c r="D61" s="20" t="s">
        <v>23</v>
      </c>
      <c r="E61" s="19">
        <f>SUM(E43:E47)/1000000</f>
        <v>0.56547734685442252</v>
      </c>
    </row>
    <row r="62" spans="1:5" x14ac:dyDescent="0.2">
      <c r="A62" s="1"/>
      <c r="D62" s="20" t="s">
        <v>24</v>
      </c>
      <c r="E62" s="19">
        <f>SUM(E43:E49)/1000000</f>
        <v>1.1005561600785227</v>
      </c>
    </row>
    <row r="63" spans="1:5" x14ac:dyDescent="0.2">
      <c r="A63" s="1"/>
      <c r="D63" s="20" t="s">
        <v>25</v>
      </c>
      <c r="E63" s="19">
        <f>SUM(E43:E52)/1000000</f>
        <v>2.1802919339034004</v>
      </c>
    </row>
    <row r="64" spans="1:5" x14ac:dyDescent="0.2">
      <c r="A64" s="1"/>
      <c r="D64" s="20" t="s">
        <v>21</v>
      </c>
      <c r="E64" s="19">
        <f>SUM(E43:E57)/1000000</f>
        <v>3.0145295833177368</v>
      </c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New Figure</vt:lpstr>
      <vt:lpstr>Old Figure</vt:lpstr>
      <vt:lpstr>'New Figure'!m</vt:lpstr>
      <vt:lpstr>m</vt:lpstr>
      <vt:lpstr>'New Figure'!p</vt:lpstr>
      <vt:lpstr>p</vt:lpstr>
      <vt:lpstr>'New Figure'!q</vt:lpstr>
      <vt:lpstr>q</vt:lpstr>
    </vt:vector>
  </TitlesOfParts>
  <Company>Merck &amp; Co.,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</cp:lastModifiedBy>
  <dcterms:created xsi:type="dcterms:W3CDTF">2004-10-02T14:36:08Z</dcterms:created>
  <dcterms:modified xsi:type="dcterms:W3CDTF">2016-01-06T13:17:55Z</dcterms:modified>
</cp:coreProperties>
</file>